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worksheets/sheet16.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0.xml" ContentType="application/vnd.openxmlformats-officedocument.spreadsheetml.worksheet+xml"/>
  <Override PartName="/xl/worksheets/sheet17.xml" ContentType="application/vnd.openxmlformats-officedocument.spreadsheetml.worksheet+xml"/>
  <Override PartName="/xl/worksheets/sheet38.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9.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xl/externalLinks/externalLink35.xml" ContentType="application/vnd.openxmlformats-officedocument.spreadsheetml.externalLink+xml"/>
  <Override PartName="/customXml/itemProps3.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4.xml" ContentType="application/vnd.openxmlformats-officedocument.customXmlProperties+xml"/>
  <Override PartName="/xl/externalLinks/externalLink1.xml" ContentType="application/vnd.openxmlformats-officedocument.spreadsheetml.externalLink+xml"/>
  <Override PartName="/xl/calcChain.xml" ContentType="application/vnd.openxmlformats-officedocument.spreadsheetml.calcChain+xml"/>
  <Override PartName="/xl/comments24.xml" ContentType="application/vnd.openxmlformats-officedocument.spreadsheetml.comments+xml"/>
  <Override PartName="/xl/externalLinks/externalLink3.xml" ContentType="application/vnd.openxmlformats-officedocument.spreadsheetml.externalLink+xml"/>
  <Override PartName="/xl/comments9.xml" ContentType="application/vnd.openxmlformats-officedocument.spreadsheetml.comments+xml"/>
  <Override PartName="/xl/externalLinks/externalLink21.xml" ContentType="application/vnd.openxmlformats-officedocument.spreadsheetml.externalLink+xml"/>
  <Override PartName="/xl/comments8.xml" ContentType="application/vnd.openxmlformats-officedocument.spreadsheetml.comments+xml"/>
  <Override PartName="/xl/externalLinks/externalLink22.xml" ContentType="application/vnd.openxmlformats-officedocument.spreadsheetml.externalLink+xml"/>
  <Override PartName="/xl/comments7.xml" ContentType="application/vnd.openxmlformats-officedocument.spreadsheetml.comments+xml"/>
  <Override PartName="/xl/externalLinks/externalLink23.xml" ContentType="application/vnd.openxmlformats-officedocument.spreadsheetml.externalLink+xml"/>
  <Override PartName="/xl/externalLinks/externalLink20.xml" ContentType="application/vnd.openxmlformats-officedocument.spreadsheetml.externalLink+xml"/>
  <Override PartName="/xl/comments12.xml" ContentType="application/vnd.openxmlformats-officedocument.spreadsheetml.comments+xml"/>
  <Override PartName="/xl/externalLinks/externalLink17.xml" ContentType="application/vnd.openxmlformats-officedocument.spreadsheetml.externalLink+xml"/>
  <Override PartName="/xl/comments11.xml" ContentType="application/vnd.openxmlformats-officedocument.spreadsheetml.comments+xml"/>
  <Override PartName="/xl/externalLinks/externalLink18.xml" ContentType="application/vnd.openxmlformats-officedocument.spreadsheetml.externalLink+xml"/>
  <Override PartName="/xl/comments10.xml" ContentType="application/vnd.openxmlformats-officedocument.spreadsheetml.comments+xml"/>
  <Override PartName="/xl/externalLinks/externalLink19.xml" ContentType="application/vnd.openxmlformats-officedocument.spreadsheetml.externalLink+xml"/>
  <Override PartName="/xl/externalLinks/externalLink24.xml" ContentType="application/vnd.openxmlformats-officedocument.spreadsheetml.externalLink+xml"/>
  <Override PartName="/xl/comments6.xml" ContentType="application/vnd.openxmlformats-officedocument.spreadsheetml.comments+xml"/>
  <Override PartName="/xl/externalLinks/externalLink25.xml" ContentType="application/vnd.openxmlformats-officedocument.spreadsheetml.externalLink+xml"/>
  <Override PartName="/xl/externalLinks/externalLink29.xml" ContentType="application/vnd.openxmlformats-officedocument.spreadsheetml.externalLink+xml"/>
  <Override PartName="/xl/comments1.xml" ContentType="application/vnd.openxmlformats-officedocument.spreadsheetml.comments+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6.xml" ContentType="application/vnd.openxmlformats-officedocument.spreadsheetml.externalLink+xml"/>
  <Override PartName="/xl/comments2.xml" ContentType="application/vnd.openxmlformats-officedocument.spreadsheetml.comments+xml"/>
  <Override PartName="/xl/externalLinks/externalLink28.xml" ContentType="application/vnd.openxmlformats-officedocument.spreadsheetml.externalLink+xml"/>
  <Override PartName="/xl/comments5.xml" ContentType="application/vnd.openxmlformats-officedocument.spreadsheetml.comments+xml"/>
  <Override PartName="/xl/externalLinks/externalLink26.xml" ContentType="application/vnd.openxmlformats-officedocument.spreadsheetml.externalLink+xml"/>
  <Override PartName="/xl/comments4.xml" ContentType="application/vnd.openxmlformats-officedocument.spreadsheetml.comments+xml"/>
  <Override PartName="/xl/externalLinks/externalLink27.xml" ContentType="application/vnd.openxmlformats-officedocument.spreadsheetml.externalLink+xml"/>
  <Override PartName="/xl/comments3.xml" ContentType="application/vnd.openxmlformats-officedocument.spreadsheetml.comments+xml"/>
  <Override PartName="/xl/externalLinks/externalLink16.xml" ContentType="application/vnd.openxmlformats-officedocument.spreadsheetml.externalLink+xml"/>
  <Override PartName="/xl/comments20.xml" ContentType="application/vnd.openxmlformats-officedocument.spreadsheetml.comments+xml"/>
  <Override PartName="/xl/externalLinks/externalLink8.xml" ContentType="application/vnd.openxmlformats-officedocument.spreadsheetml.externalLink+xml"/>
  <Override PartName="/xl/comments19.xml" ContentType="application/vnd.openxmlformats-officedocument.spreadsheetml.comments+xml"/>
  <Override PartName="/xl/externalLinks/externalLink9.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comments21.xml" ContentType="application/vnd.openxmlformats-officedocument.spreadsheetml.comments+xml"/>
  <Override PartName="/xl/comments23.xml" ContentType="application/vnd.openxmlformats-officedocument.spreadsheetml.comments+xml"/>
  <Override PartName="/xl/externalLinks/externalLink4.xml" ContentType="application/vnd.openxmlformats-officedocument.spreadsheetml.externalLink+xml"/>
  <Override PartName="/xl/comments22.xml" ContentType="application/vnd.openxmlformats-officedocument.spreadsheetml.comments+xml"/>
  <Override PartName="/xl/externalLinks/externalLink5.xml" ContentType="application/vnd.openxmlformats-officedocument.spreadsheetml.externalLink+xml"/>
  <Override PartName="/xl/comments18.xml" ContentType="application/vnd.openxmlformats-officedocument.spreadsheetml.comments+xml"/>
  <Override PartName="/xl/externalLinks/externalLink10.xml" ContentType="application/vnd.openxmlformats-officedocument.spreadsheetml.externalLink+xml"/>
  <Override PartName="/xl/externalLinks/externalLink14.xml" ContentType="application/vnd.openxmlformats-officedocument.spreadsheetml.externalLink+xml"/>
  <Override PartName="/xl/comments14.xml" ContentType="application/vnd.openxmlformats-officedocument.spreadsheetml.comments+xml"/>
  <Override PartName="/xl/externalLinks/externalLink15.xml" ContentType="application/vnd.openxmlformats-officedocument.spreadsheetml.externalLink+xml"/>
  <Override PartName="/xl/comments13.xml" ContentType="application/vnd.openxmlformats-officedocument.spreadsheetml.comments+xml"/>
  <Override PartName="/xl/comments15.xml" ContentType="application/vnd.openxmlformats-officedocument.spreadsheetml.comments+xml"/>
  <Override PartName="/xl/externalLinks/externalLink13.xml" ContentType="application/vnd.openxmlformats-officedocument.spreadsheetml.externalLink+xml"/>
  <Override PartName="/xl/comments17.xml" ContentType="application/vnd.openxmlformats-officedocument.spreadsheetml.comments+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omments16.xml" ContentType="application/vnd.openxmlformats-officedocument.spreadsheetml.comments+xml"/>
  <Override PartName="/xl/externalLinks/externalLink34.xml" ContentType="application/vnd.openxmlformats-officedocument.spreadsheetml.externalLink+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oates215\OneDrive - Washington State Executive Branch Agencies\2019\Monthly Dockets\January\24\TG-181017\"/>
    </mc:Choice>
  </mc:AlternateContent>
  <bookViews>
    <workbookView xWindow="120" yWindow="1485" windowWidth="15180" windowHeight="6330"/>
  </bookViews>
  <sheets>
    <sheet name="Staff Analysis" sheetId="11" r:id="rId1"/>
    <sheet name="WUTC_KENT_MF 181017" sheetId="35" r:id="rId2"/>
    <sheet name="Value MF 181017" sheetId="36" r:id="rId3"/>
    <sheet name="Commodity Tons MF 181017 " sheetId="37" r:id="rId4"/>
    <sheet name="Pricing MF 181017" sheetId="38" r:id="rId5"/>
    <sheet name="Multi_Family 181017" sheetId="39" r:id="rId6"/>
    <sheet name="WUTC_KENT_SF 181017" sheetId="40" r:id="rId7"/>
    <sheet name="Value 181017" sheetId="41" r:id="rId8"/>
    <sheet name="Commodity Tons 181017" sheetId="42" r:id="rId9"/>
    <sheet name="Pricing 181017" sheetId="43" r:id="rId10"/>
    <sheet name="Singe Family 181017" sheetId="44" r:id="rId11"/>
    <sheet name="WUTC_KENT_SF 2018" sheetId="25" r:id="rId12"/>
    <sheet name="Value 2018" sheetId="26" r:id="rId13"/>
    <sheet name="Commodity Tonnages 2018" sheetId="27" r:id="rId14"/>
    <sheet name="Pricing 2018" sheetId="28" r:id="rId15"/>
    <sheet name="Single Family 2018" sheetId="29" r:id="rId16"/>
    <sheet name="WUTC_KENT_MF 2018" sheetId="30" r:id="rId17"/>
    <sheet name="Value MF 2018" sheetId="31" r:id="rId18"/>
    <sheet name="Commodity Tonnages MF 2018" sheetId="32" r:id="rId19"/>
    <sheet name="Pricing MF 2018" sheetId="33" r:id="rId20"/>
    <sheet name="Multi_Family MF 2018" sheetId="34" r:id="rId21"/>
    <sheet name="WUTC_KENT_MF (2)" sheetId="20" r:id="rId22"/>
    <sheet name="Value MF" sheetId="21" r:id="rId23"/>
    <sheet name="Pricing MF" sheetId="23" r:id="rId24"/>
    <sheet name="Commodity Tonnages MF" sheetId="22" r:id="rId25"/>
    <sheet name="Multi_Family (2)" sheetId="24" r:id="rId26"/>
    <sheet name="WUTC_KENT_SF (2)" sheetId="15" r:id="rId27"/>
    <sheet name="Value (2)" sheetId="16" r:id="rId28"/>
    <sheet name="Commodity Tonnages (2)" sheetId="17" r:id="rId29"/>
    <sheet name="Pricing (2)" sheetId="18" r:id="rId30"/>
    <sheet name="Single Family (2)" sheetId="19" r:id="rId31"/>
    <sheet name="2016 Staff Summary" sheetId="14" r:id="rId32"/>
    <sheet name="2014-2015" sheetId="12" r:id="rId33"/>
    <sheet name="WUTC_KENT_SF" sheetId="1" r:id="rId34"/>
    <sheet name="Renton Cust" sheetId="13" r:id="rId35"/>
    <sheet name="SF Value" sheetId="4" r:id="rId36"/>
    <sheet name="SF Commodity Tonnages" sheetId="2" r:id="rId37"/>
    <sheet name="SF Pricing" sheetId="3" r:id="rId38"/>
    <sheet name="Single Family" sheetId="5" r:id="rId39"/>
    <sheet name="WUTC_KENT_MF" sheetId="6" r:id="rId40"/>
    <sheet name="Value" sheetId="7" r:id="rId41"/>
    <sheet name="Commodity Tonnages" sheetId="8" r:id="rId42"/>
    <sheet name="Pricing" sheetId="9" r:id="rId43"/>
    <sheet name="Multi_Family" sheetId="10" r:id="rId44"/>
  </sheets>
  <externalReferences>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s>
  <definedNames>
    <definedName name="BREMAIR_COST_of_SERVICE_STUDY" localSheetId="32">#REF!</definedName>
    <definedName name="BREMAIR_COST_of_SERVICE_STUDY">#REF!</definedName>
    <definedName name="color" localSheetId="32">#REF!</definedName>
    <definedName name="color" localSheetId="28">#REF!</definedName>
    <definedName name="color" localSheetId="13">#REF!</definedName>
    <definedName name="color" localSheetId="24">#REF!</definedName>
    <definedName name="color" localSheetId="18">#REF!</definedName>
    <definedName name="color" localSheetId="25">#REF!</definedName>
    <definedName name="color" localSheetId="20">#REF!</definedName>
    <definedName name="color" localSheetId="29">#REF!</definedName>
    <definedName name="color" localSheetId="14">#REF!</definedName>
    <definedName name="color" localSheetId="23">#REF!</definedName>
    <definedName name="color" localSheetId="19">#REF!</definedName>
    <definedName name="color" localSheetId="30">#REF!</definedName>
    <definedName name="color" localSheetId="15">#REF!</definedName>
    <definedName name="color" localSheetId="0">#REF!</definedName>
    <definedName name="color" localSheetId="27">#REF!</definedName>
    <definedName name="color" localSheetId="12">#REF!</definedName>
    <definedName name="color" localSheetId="22">#REF!</definedName>
    <definedName name="color" localSheetId="17">#REF!</definedName>
    <definedName name="color" localSheetId="21">#REF!</definedName>
    <definedName name="color" localSheetId="16">#REF!</definedName>
    <definedName name="color" localSheetId="26">#REF!</definedName>
    <definedName name="color" localSheetId="11">#REF!</definedName>
    <definedName name="color">#REF!</definedName>
    <definedName name="_xlnm.Print_Area" localSheetId="41">'Commodity Tonnages'!$A$1:$N$21</definedName>
    <definedName name="_xlnm.Print_Area" localSheetId="24">'Commodity Tonnages MF'!$A$1:$N$21</definedName>
    <definedName name="_xlnm.Print_Area" localSheetId="18">'Commodity Tonnages MF 2018'!$A$1:$N$21</definedName>
    <definedName name="_xlnm.Print_Area" localSheetId="3">'Commodity Tons MF 181017 '!$A$1:$N$21</definedName>
    <definedName name="_xlnm.Print_Area" localSheetId="43">Multi_Family!$A$7:$N$102</definedName>
    <definedName name="_xlnm.Print_Area" localSheetId="25">'Multi_Family (2)'!$A$7:$N$102</definedName>
    <definedName name="_xlnm.Print_Area" localSheetId="5">'Multi_Family 181017'!$A$7:$N$102</definedName>
    <definedName name="_xlnm.Print_Area" localSheetId="20">'Multi_Family MF 2018'!$A$7:$N$102</definedName>
    <definedName name="_xlnm.Print_Area" localSheetId="42">Pricing!$A$1:$L$20</definedName>
    <definedName name="_xlnm.Print_Area" localSheetId="23">'Pricing MF'!$A$1:$L$20</definedName>
    <definedName name="_xlnm.Print_Area" localSheetId="4">'Pricing MF 181017'!$A$1:$L$20</definedName>
    <definedName name="_xlnm.Print_Area" localSheetId="19">'Pricing MF 2018'!$A$1:$L$20</definedName>
    <definedName name="_xlnm.Print_Area" localSheetId="38">'Single Family'!$A$1:$O$98</definedName>
    <definedName name="_xlnm.Print_Area" localSheetId="30">'Single Family (2)'!$A$1:$O$98</definedName>
    <definedName name="_xlnm.Print_Area" localSheetId="15">'Single Family 2018'!$A$1:$O$98</definedName>
    <definedName name="_xlnm.Print_Area" localSheetId="0">'Staff Analysis'!$A$1:$F$57</definedName>
    <definedName name="_xlnm.Print_Area" localSheetId="39">WUTC_KENT_MF!$A$1:$P$71</definedName>
    <definedName name="_xlnm.Print_Area" localSheetId="21">'WUTC_KENT_MF (2)'!$A$1:$P$71</definedName>
    <definedName name="_xlnm.Print_Area" localSheetId="1">'WUTC_KENT_MF 181017'!$A$1:$P$75</definedName>
    <definedName name="_xlnm.Print_Area" localSheetId="16">'WUTC_KENT_MF 2018'!$A$1:$P$75</definedName>
    <definedName name="_xlnm.Print_Area" localSheetId="33">WUTC_KENT_SF!$A$1:$P$67</definedName>
    <definedName name="_xlnm.Print_Area" localSheetId="26">'WUTC_KENT_SF (2)'!$A$1:$P$67</definedName>
    <definedName name="_xlnm.Print_Area" localSheetId="11">'WUTC_KENT_SF 2018'!$A$1:$P$73</definedName>
    <definedName name="_xlnm.Print_Titles" localSheetId="43">Multi_Family!$A:$B,Multi_Family!$1:$6</definedName>
    <definedName name="_xlnm.Print_Titles" localSheetId="25">'Multi_Family (2)'!$A:$B,'Multi_Family (2)'!$1:$6</definedName>
    <definedName name="_xlnm.Print_Titles" localSheetId="5">'Multi_Family 181017'!$A:$B,'Multi_Family 181017'!$1:$6</definedName>
    <definedName name="_xlnm.Print_Titles" localSheetId="20">'Multi_Family MF 2018'!$A:$B,'Multi_Family MF 2018'!$1:$6</definedName>
    <definedName name="_xlnm.Print_Titles" localSheetId="38">'Single Family'!$A:$B,'Single Family'!$1:$6</definedName>
    <definedName name="_xlnm.Print_Titles" localSheetId="30">'Single Family (2)'!$A:$B,'Single Family (2)'!$1:$6</definedName>
    <definedName name="_xlnm.Print_Titles" localSheetId="15">'Single Family 2018'!$A:$B,'Single Family 2018'!$1:$6</definedName>
    <definedName name="Print1" localSheetId="32">#REF!</definedName>
    <definedName name="Print1">#REF!</definedName>
    <definedName name="Print2" localSheetId="32">#REF!</definedName>
    <definedName name="Print2">#REF!</definedName>
  </definedNames>
  <calcPr calcId="152511"/>
</workbook>
</file>

<file path=xl/calcChain.xml><?xml version="1.0" encoding="utf-8"?>
<calcChain xmlns="http://schemas.openxmlformats.org/spreadsheetml/2006/main">
  <c r="A44" i="11" l="1"/>
  <c r="A51" i="11" l="1"/>
  <c r="A40" i="11"/>
  <c r="A39" i="11"/>
  <c r="A38" i="11"/>
  <c r="B2" i="44"/>
  <c r="B3" i="44"/>
  <c r="D6" i="44"/>
  <c r="E6" i="44" s="1"/>
  <c r="F6" i="44" s="1"/>
  <c r="G6" i="44" s="1"/>
  <c r="H6" i="44" s="1"/>
  <c r="I6" i="44" s="1"/>
  <c r="J6" i="44" s="1"/>
  <c r="K6" i="44" s="1"/>
  <c r="L6" i="44" s="1"/>
  <c r="M6" i="44" s="1"/>
  <c r="N6" i="44" s="1"/>
  <c r="T68" i="44" s="1"/>
  <c r="C9" i="44"/>
  <c r="D9" i="44"/>
  <c r="E9" i="44"/>
  <c r="F9" i="44"/>
  <c r="G9" i="44"/>
  <c r="H9" i="44"/>
  <c r="I9" i="44"/>
  <c r="J9" i="44"/>
  <c r="K9" i="44"/>
  <c r="L9" i="44"/>
  <c r="M9" i="44"/>
  <c r="N9" i="44"/>
  <c r="C10" i="44"/>
  <c r="D10" i="44"/>
  <c r="E10" i="44"/>
  <c r="F10" i="44"/>
  <c r="G10" i="44"/>
  <c r="H10" i="44"/>
  <c r="I10" i="44"/>
  <c r="J10" i="44"/>
  <c r="K10" i="44"/>
  <c r="L10" i="44"/>
  <c r="M10" i="44"/>
  <c r="N10" i="44"/>
  <c r="C27" i="44"/>
  <c r="C55" i="44" s="1"/>
  <c r="D27" i="44"/>
  <c r="E27" i="44"/>
  <c r="F27" i="44"/>
  <c r="F55" i="44" s="1"/>
  <c r="G27" i="44"/>
  <c r="G55" i="44" s="1"/>
  <c r="H27" i="44"/>
  <c r="I27" i="44"/>
  <c r="J27" i="44"/>
  <c r="J55" i="44" s="1"/>
  <c r="K27" i="44"/>
  <c r="K55" i="44" s="1"/>
  <c r="L27" i="44"/>
  <c r="L55" i="44" s="1"/>
  <c r="M27" i="44"/>
  <c r="N27" i="44"/>
  <c r="C28" i="44"/>
  <c r="C56" i="44" s="1"/>
  <c r="C83" i="44" s="1"/>
  <c r="D28" i="44"/>
  <c r="E28" i="44"/>
  <c r="F28" i="44"/>
  <c r="G28" i="44"/>
  <c r="G56" i="44" s="1"/>
  <c r="G83" i="44" s="1"/>
  <c r="H28" i="44"/>
  <c r="I28" i="44"/>
  <c r="J28" i="44"/>
  <c r="J56" i="44" s="1"/>
  <c r="J83" i="44" s="1"/>
  <c r="K28" i="44"/>
  <c r="K56" i="44" s="1"/>
  <c r="K83" i="44" s="1"/>
  <c r="L28" i="44"/>
  <c r="M28" i="44"/>
  <c r="N28" i="44"/>
  <c r="N56" i="44" s="1"/>
  <c r="N83" i="44" s="1"/>
  <c r="C29" i="44"/>
  <c r="C57" i="44" s="1"/>
  <c r="C84" i="44" s="1"/>
  <c r="D29" i="44"/>
  <c r="D57" i="44" s="1"/>
  <c r="D84" i="44" s="1"/>
  <c r="E29" i="44"/>
  <c r="F29" i="44"/>
  <c r="G29" i="44"/>
  <c r="G57" i="44" s="1"/>
  <c r="H29" i="44"/>
  <c r="I29" i="44"/>
  <c r="J29" i="44"/>
  <c r="K29" i="44"/>
  <c r="K57" i="44" s="1"/>
  <c r="L29" i="44"/>
  <c r="M29" i="44"/>
  <c r="N29" i="44"/>
  <c r="N57" i="44" s="1"/>
  <c r="C30" i="44"/>
  <c r="C58" i="44" s="1"/>
  <c r="C85" i="44" s="1"/>
  <c r="D30" i="44"/>
  <c r="E30" i="44"/>
  <c r="F30" i="44"/>
  <c r="F58" i="44" s="1"/>
  <c r="F85" i="44" s="1"/>
  <c r="G30" i="44"/>
  <c r="G58" i="44" s="1"/>
  <c r="G85" i="44" s="1"/>
  <c r="H30" i="44"/>
  <c r="H58" i="44" s="1"/>
  <c r="H85" i="44" s="1"/>
  <c r="I30" i="44"/>
  <c r="J30" i="44"/>
  <c r="K30" i="44"/>
  <c r="K58" i="44" s="1"/>
  <c r="K85" i="44" s="1"/>
  <c r="L30" i="44"/>
  <c r="M30" i="44"/>
  <c r="N30" i="44"/>
  <c r="C31" i="44"/>
  <c r="C59" i="44" s="1"/>
  <c r="C86" i="44" s="1"/>
  <c r="D31" i="44"/>
  <c r="E31" i="44"/>
  <c r="F31" i="44"/>
  <c r="F59" i="44" s="1"/>
  <c r="F86" i="44" s="1"/>
  <c r="G31" i="44"/>
  <c r="G59" i="44" s="1"/>
  <c r="G86" i="44" s="1"/>
  <c r="H31" i="44"/>
  <c r="I31" i="44"/>
  <c r="J31" i="44"/>
  <c r="J59" i="44" s="1"/>
  <c r="J86" i="44" s="1"/>
  <c r="K31" i="44"/>
  <c r="K59" i="44" s="1"/>
  <c r="K86" i="44" s="1"/>
  <c r="L31" i="44"/>
  <c r="L59" i="44" s="1"/>
  <c r="L86" i="44" s="1"/>
  <c r="M31" i="44"/>
  <c r="N31" i="44"/>
  <c r="C32" i="44"/>
  <c r="C60" i="44" s="1"/>
  <c r="C87" i="44" s="1"/>
  <c r="D32" i="44"/>
  <c r="E32" i="44"/>
  <c r="F32" i="44"/>
  <c r="G32" i="44"/>
  <c r="G60" i="44" s="1"/>
  <c r="G87" i="44" s="1"/>
  <c r="H32" i="44"/>
  <c r="I32" i="44"/>
  <c r="J32" i="44"/>
  <c r="J60" i="44" s="1"/>
  <c r="J87" i="44" s="1"/>
  <c r="K32" i="44"/>
  <c r="K60" i="44" s="1"/>
  <c r="K87" i="44" s="1"/>
  <c r="L32" i="44"/>
  <c r="M32" i="44"/>
  <c r="N32" i="44"/>
  <c r="N60" i="44" s="1"/>
  <c r="N87" i="44" s="1"/>
  <c r="C33" i="44"/>
  <c r="C61" i="44" s="1"/>
  <c r="C88" i="44" s="1"/>
  <c r="D33" i="44"/>
  <c r="D61" i="44" s="1"/>
  <c r="D88" i="44" s="1"/>
  <c r="E33" i="44"/>
  <c r="F33" i="44"/>
  <c r="G33" i="44"/>
  <c r="G61" i="44" s="1"/>
  <c r="H33" i="44"/>
  <c r="I33" i="44"/>
  <c r="J33" i="44"/>
  <c r="K33" i="44"/>
  <c r="K61" i="44" s="1"/>
  <c r="L33" i="44"/>
  <c r="M33" i="44"/>
  <c r="N33" i="44"/>
  <c r="N61" i="44" s="1"/>
  <c r="C34" i="44"/>
  <c r="C62" i="44" s="1"/>
  <c r="C89" i="44" s="1"/>
  <c r="D34" i="44"/>
  <c r="E34" i="44"/>
  <c r="F34" i="44"/>
  <c r="F62" i="44" s="1"/>
  <c r="F89" i="44" s="1"/>
  <c r="G34" i="44"/>
  <c r="G62" i="44" s="1"/>
  <c r="G89" i="44" s="1"/>
  <c r="H34" i="44"/>
  <c r="H62" i="44" s="1"/>
  <c r="H89" i="44" s="1"/>
  <c r="I34" i="44"/>
  <c r="J34" i="44"/>
  <c r="K34" i="44"/>
  <c r="K62" i="44" s="1"/>
  <c r="K89" i="44" s="1"/>
  <c r="L34" i="44"/>
  <c r="M34" i="44"/>
  <c r="N34" i="44"/>
  <c r="C35" i="44"/>
  <c r="C63" i="44" s="1"/>
  <c r="C90" i="44" s="1"/>
  <c r="D35" i="44"/>
  <c r="E35" i="44"/>
  <c r="F35" i="44"/>
  <c r="F63" i="44" s="1"/>
  <c r="F90" i="44" s="1"/>
  <c r="G35" i="44"/>
  <c r="G63" i="44" s="1"/>
  <c r="G90" i="44" s="1"/>
  <c r="H35" i="44"/>
  <c r="I35" i="44"/>
  <c r="J35" i="44"/>
  <c r="J63" i="44" s="1"/>
  <c r="J90" i="44" s="1"/>
  <c r="K35" i="44"/>
  <c r="K63" i="44" s="1"/>
  <c r="K90" i="44" s="1"/>
  <c r="L35" i="44"/>
  <c r="L63" i="44" s="1"/>
  <c r="L90" i="44" s="1"/>
  <c r="M35" i="44"/>
  <c r="N35" i="44"/>
  <c r="C36" i="44"/>
  <c r="C64" i="44" s="1"/>
  <c r="C91" i="44" s="1"/>
  <c r="D36" i="44"/>
  <c r="E36" i="44"/>
  <c r="F36" i="44"/>
  <c r="G36" i="44"/>
  <c r="G64" i="44" s="1"/>
  <c r="G91" i="44" s="1"/>
  <c r="H36" i="44"/>
  <c r="I36" i="44"/>
  <c r="J36" i="44"/>
  <c r="J64" i="44" s="1"/>
  <c r="J91" i="44" s="1"/>
  <c r="K36" i="44"/>
  <c r="K64" i="44" s="1"/>
  <c r="K91" i="44" s="1"/>
  <c r="L36" i="44"/>
  <c r="M36" i="44"/>
  <c r="N36" i="44"/>
  <c r="N64" i="44" s="1"/>
  <c r="N91" i="44" s="1"/>
  <c r="C37" i="44"/>
  <c r="D37" i="44"/>
  <c r="E37" i="44"/>
  <c r="F37" i="44"/>
  <c r="G37" i="44"/>
  <c r="H37" i="44"/>
  <c r="I37" i="44"/>
  <c r="J37" i="44"/>
  <c r="K37" i="44"/>
  <c r="L37" i="44"/>
  <c r="M37" i="44"/>
  <c r="N37" i="44"/>
  <c r="C38" i="44"/>
  <c r="D38" i="44"/>
  <c r="E38" i="44"/>
  <c r="F38" i="44"/>
  <c r="G38" i="44"/>
  <c r="H38" i="44"/>
  <c r="I38" i="44"/>
  <c r="J38" i="44"/>
  <c r="K38" i="44"/>
  <c r="L38" i="44"/>
  <c r="M38" i="44"/>
  <c r="N38" i="44"/>
  <c r="D55" i="44"/>
  <c r="E55" i="44"/>
  <c r="H55" i="44"/>
  <c r="I55" i="44"/>
  <c r="I82" i="44" s="1"/>
  <c r="M55" i="44"/>
  <c r="M65" i="44" s="1"/>
  <c r="M92" i="44" s="1"/>
  <c r="N55" i="44"/>
  <c r="N82" i="44" s="1"/>
  <c r="D56" i="44"/>
  <c r="E56" i="44"/>
  <c r="E83" i="44" s="1"/>
  <c r="F56" i="44"/>
  <c r="F83" i="44" s="1"/>
  <c r="H56" i="44"/>
  <c r="H83" i="44" s="1"/>
  <c r="I56" i="44"/>
  <c r="I83" i="44" s="1"/>
  <c r="L56" i="44"/>
  <c r="M56" i="44"/>
  <c r="M83" i="44" s="1"/>
  <c r="E57" i="44"/>
  <c r="F57" i="44"/>
  <c r="H57" i="44"/>
  <c r="I57" i="44"/>
  <c r="J57" i="44"/>
  <c r="L57" i="44"/>
  <c r="M57" i="44"/>
  <c r="D58" i="44"/>
  <c r="D85" i="44" s="1"/>
  <c r="E58" i="44"/>
  <c r="E85" i="44" s="1"/>
  <c r="I58" i="44"/>
  <c r="I85" i="44" s="1"/>
  <c r="J58" i="44"/>
  <c r="J85" i="44" s="1"/>
  <c r="L58" i="44"/>
  <c r="M58" i="44"/>
  <c r="N58" i="44"/>
  <c r="N85" i="44" s="1"/>
  <c r="D59" i="44"/>
  <c r="D86" i="44" s="1"/>
  <c r="E59" i="44"/>
  <c r="H59" i="44"/>
  <c r="H86" i="44" s="1"/>
  <c r="I59" i="44"/>
  <c r="I86" i="44" s="1"/>
  <c r="M59" i="44"/>
  <c r="M86" i="44" s="1"/>
  <c r="N59" i="44"/>
  <c r="N86" i="44" s="1"/>
  <c r="D60" i="44"/>
  <c r="E60" i="44"/>
  <c r="F60" i="44"/>
  <c r="F87" i="44" s="1"/>
  <c r="H60" i="44"/>
  <c r="H87" i="44" s="1"/>
  <c r="I60" i="44"/>
  <c r="L60" i="44"/>
  <c r="L87" i="44" s="1"/>
  <c r="M60" i="44"/>
  <c r="M87" i="44" s="1"/>
  <c r="E61" i="44"/>
  <c r="F61" i="44"/>
  <c r="H61" i="44"/>
  <c r="I61" i="44"/>
  <c r="J61" i="44"/>
  <c r="L61" i="44"/>
  <c r="M61" i="44"/>
  <c r="D62" i="44"/>
  <c r="D89" i="44" s="1"/>
  <c r="E62" i="44"/>
  <c r="E89" i="44" s="1"/>
  <c r="I62" i="44"/>
  <c r="I89" i="44" s="1"/>
  <c r="J62" i="44"/>
  <c r="J89" i="44" s="1"/>
  <c r="L62" i="44"/>
  <c r="M62" i="44"/>
  <c r="N62" i="44"/>
  <c r="N89" i="44" s="1"/>
  <c r="D63" i="44"/>
  <c r="D90" i="44" s="1"/>
  <c r="E63" i="44"/>
  <c r="H63" i="44"/>
  <c r="H90" i="44" s="1"/>
  <c r="I63" i="44"/>
  <c r="I90" i="44" s="1"/>
  <c r="M63" i="44"/>
  <c r="M90" i="44" s="1"/>
  <c r="N63" i="44"/>
  <c r="N90" i="44" s="1"/>
  <c r="D64" i="44"/>
  <c r="E64" i="44"/>
  <c r="F64" i="44"/>
  <c r="F91" i="44" s="1"/>
  <c r="H64" i="44"/>
  <c r="H91" i="44" s="1"/>
  <c r="I64" i="44"/>
  <c r="L64" i="44"/>
  <c r="L91" i="44" s="1"/>
  <c r="M64" i="44"/>
  <c r="M91" i="44" s="1"/>
  <c r="P69" i="44"/>
  <c r="T80" i="44" s="1"/>
  <c r="R69" i="44"/>
  <c r="S69" i="44"/>
  <c r="P70" i="44"/>
  <c r="T70" i="44" s="1"/>
  <c r="R70" i="44"/>
  <c r="S70" i="44"/>
  <c r="P71" i="44"/>
  <c r="T71" i="44" s="1"/>
  <c r="U71" i="44" s="1"/>
  <c r="R71" i="44"/>
  <c r="P72" i="44"/>
  <c r="T72" i="44" s="1"/>
  <c r="R72" i="44"/>
  <c r="S72" i="44"/>
  <c r="P73" i="44"/>
  <c r="T73" i="44" s="1"/>
  <c r="U73" i="44" s="1"/>
  <c r="R73" i="44"/>
  <c r="S73" i="44"/>
  <c r="P74" i="44"/>
  <c r="T74" i="44" s="1"/>
  <c r="U74" i="44" s="1"/>
  <c r="R74" i="44"/>
  <c r="S74" i="44"/>
  <c r="P75" i="44"/>
  <c r="T75" i="44" s="1"/>
  <c r="U75" i="44" s="1"/>
  <c r="R75" i="44"/>
  <c r="P76" i="44"/>
  <c r="T76" i="44" s="1"/>
  <c r="R76" i="44"/>
  <c r="S76" i="44"/>
  <c r="P77" i="44"/>
  <c r="T77" i="44" s="1"/>
  <c r="R77" i="44"/>
  <c r="S77" i="44"/>
  <c r="P78" i="44"/>
  <c r="T78" i="44" s="1"/>
  <c r="U78" i="44" s="1"/>
  <c r="R78" i="44"/>
  <c r="S78" i="44"/>
  <c r="O79" i="44"/>
  <c r="P79" i="44"/>
  <c r="T79" i="44" s="1"/>
  <c r="R79" i="44"/>
  <c r="S79" i="44"/>
  <c r="S80" i="44"/>
  <c r="E82" i="44"/>
  <c r="H82" i="44"/>
  <c r="M82" i="44"/>
  <c r="D83" i="44"/>
  <c r="L83" i="44"/>
  <c r="T83" i="44"/>
  <c r="T84" i="44" s="1"/>
  <c r="H84" i="44"/>
  <c r="L85" i="44"/>
  <c r="M85" i="44"/>
  <c r="E86" i="44"/>
  <c r="D87" i="44"/>
  <c r="E87" i="44"/>
  <c r="I87" i="44"/>
  <c r="H88" i="44"/>
  <c r="L89" i="44"/>
  <c r="M89" i="44"/>
  <c r="E90" i="44"/>
  <c r="D91" i="44"/>
  <c r="E91" i="44"/>
  <c r="I91" i="44"/>
  <c r="A7" i="43"/>
  <c r="F7" i="43" s="1"/>
  <c r="A8" i="43"/>
  <c r="D8" i="43" s="1"/>
  <c r="C8" i="43"/>
  <c r="F8" i="43"/>
  <c r="J8" i="43"/>
  <c r="K8" i="43"/>
  <c r="A9" i="43"/>
  <c r="C9" i="43" s="1"/>
  <c r="E9" i="43"/>
  <c r="F9" i="43"/>
  <c r="I9" i="43"/>
  <c r="J9" i="43"/>
  <c r="A10" i="43"/>
  <c r="C10" i="43" s="1"/>
  <c r="H10" i="43"/>
  <c r="A11" i="43"/>
  <c r="E11" i="43" s="1"/>
  <c r="A12" i="43"/>
  <c r="C12" i="43" s="1"/>
  <c r="J12" i="43"/>
  <c r="A13" i="43"/>
  <c r="C13" i="43"/>
  <c r="D13" i="43"/>
  <c r="E13" i="43"/>
  <c r="F13" i="43"/>
  <c r="G13" i="43"/>
  <c r="H13" i="43"/>
  <c r="I13" i="43"/>
  <c r="J13" i="43"/>
  <c r="K13" i="43"/>
  <c r="L13" i="43"/>
  <c r="A14" i="43"/>
  <c r="C14" i="43" s="1"/>
  <c r="D14" i="43"/>
  <c r="F14" i="43"/>
  <c r="H14" i="43"/>
  <c r="I14" i="43"/>
  <c r="L14" i="43"/>
  <c r="A15" i="43"/>
  <c r="J15" i="43" s="1"/>
  <c r="E15" i="43"/>
  <c r="A16" i="43"/>
  <c r="J16" i="43" s="1"/>
  <c r="A17" i="43"/>
  <c r="F17" i="43"/>
  <c r="A18" i="43"/>
  <c r="C18" i="43" s="1"/>
  <c r="D18" i="43"/>
  <c r="F18" i="43"/>
  <c r="H18" i="43"/>
  <c r="I18" i="43"/>
  <c r="L18" i="43"/>
  <c r="A2" i="42"/>
  <c r="A7" i="42"/>
  <c r="C7" i="42"/>
  <c r="D7" i="42"/>
  <c r="E7" i="42"/>
  <c r="F7" i="42"/>
  <c r="G7" i="42"/>
  <c r="H7" i="42"/>
  <c r="I7" i="42"/>
  <c r="J7" i="42"/>
  <c r="K7" i="42"/>
  <c r="L7" i="42"/>
  <c r="A8" i="42"/>
  <c r="F8" i="42" s="1"/>
  <c r="A2" i="41"/>
  <c r="A7" i="41"/>
  <c r="C7" i="41"/>
  <c r="D7" i="41"/>
  <c r="E7" i="41"/>
  <c r="F7" i="41"/>
  <c r="G7" i="41"/>
  <c r="H7" i="41"/>
  <c r="I7" i="41"/>
  <c r="J7" i="41"/>
  <c r="K7" i="41"/>
  <c r="L7" i="41"/>
  <c r="A8" i="41"/>
  <c r="C8" i="41"/>
  <c r="D8" i="41"/>
  <c r="E8" i="41"/>
  <c r="F8" i="41"/>
  <c r="G8" i="41"/>
  <c r="H8" i="41"/>
  <c r="I8" i="41"/>
  <c r="J8" i="41"/>
  <c r="K8" i="41"/>
  <c r="L8" i="41"/>
  <c r="A9" i="41"/>
  <c r="C9" i="41"/>
  <c r="D9" i="41"/>
  <c r="E9" i="41"/>
  <c r="F9" i="41"/>
  <c r="G9" i="41"/>
  <c r="H9" i="41"/>
  <c r="I9" i="41"/>
  <c r="J9" i="41"/>
  <c r="K9" i="41"/>
  <c r="L9" i="41"/>
  <c r="A10" i="41"/>
  <c r="C10" i="41"/>
  <c r="D10" i="41"/>
  <c r="E10" i="41"/>
  <c r="F10" i="41"/>
  <c r="G10" i="41"/>
  <c r="H10" i="41"/>
  <c r="I10" i="41"/>
  <c r="J10" i="41"/>
  <c r="K10" i="41"/>
  <c r="L10" i="41"/>
  <c r="A11" i="41"/>
  <c r="C11" i="41"/>
  <c r="D11" i="41"/>
  <c r="E11" i="41"/>
  <c r="F11" i="41"/>
  <c r="G11" i="41"/>
  <c r="H11" i="41"/>
  <c r="I11" i="41"/>
  <c r="J11" i="41"/>
  <c r="K11" i="41"/>
  <c r="L11" i="41"/>
  <c r="A12" i="41"/>
  <c r="A1" i="41" s="1"/>
  <c r="C12" i="41"/>
  <c r="D12" i="41"/>
  <c r="E12" i="41"/>
  <c r="F12" i="41"/>
  <c r="G12" i="41"/>
  <c r="H12" i="41"/>
  <c r="I12" i="41"/>
  <c r="J12" i="41"/>
  <c r="K12" i="41"/>
  <c r="L12" i="41"/>
  <c r="A13" i="41"/>
  <c r="C13" i="41"/>
  <c r="D13" i="41"/>
  <c r="E13" i="41"/>
  <c r="F13" i="41"/>
  <c r="G13" i="41"/>
  <c r="H13" i="41"/>
  <c r="I13" i="41"/>
  <c r="J13" i="41"/>
  <c r="K13" i="41"/>
  <c r="L13" i="41"/>
  <c r="A14" i="41"/>
  <c r="C14" i="41"/>
  <c r="D14" i="41"/>
  <c r="E14" i="41"/>
  <c r="F14" i="41"/>
  <c r="G14" i="41"/>
  <c r="H14" i="41"/>
  <c r="I14" i="41"/>
  <c r="J14" i="41"/>
  <c r="K14" i="41"/>
  <c r="L14" i="41"/>
  <c r="A15" i="41"/>
  <c r="C15" i="41"/>
  <c r="D15" i="41"/>
  <c r="E15" i="41"/>
  <c r="F15" i="41"/>
  <c r="G15" i="41"/>
  <c r="H15" i="41"/>
  <c r="I15" i="41"/>
  <c r="J15" i="41"/>
  <c r="K15" i="41"/>
  <c r="L15" i="41"/>
  <c r="A16" i="41"/>
  <c r="C16" i="41"/>
  <c r="D16" i="41"/>
  <c r="E16" i="41"/>
  <c r="F16" i="41"/>
  <c r="G16" i="41"/>
  <c r="H16" i="41"/>
  <c r="I16" i="41"/>
  <c r="J16" i="41"/>
  <c r="K16" i="41"/>
  <c r="L16" i="41"/>
  <c r="A17" i="41"/>
  <c r="C17" i="41"/>
  <c r="D17" i="41"/>
  <c r="E17" i="41"/>
  <c r="F17" i="41"/>
  <c r="G17" i="41"/>
  <c r="H17" i="41"/>
  <c r="I17" i="41"/>
  <c r="J17" i="41"/>
  <c r="K17" i="41"/>
  <c r="L17" i="41"/>
  <c r="A18" i="41"/>
  <c r="C18" i="41"/>
  <c r="M18" i="41" s="1"/>
  <c r="O18" i="41" s="1"/>
  <c r="D18" i="41"/>
  <c r="E18" i="41"/>
  <c r="F18" i="41"/>
  <c r="G18" i="41"/>
  <c r="H18" i="41"/>
  <c r="I18" i="41"/>
  <c r="J18" i="41"/>
  <c r="K18" i="41"/>
  <c r="L18" i="41"/>
  <c r="O5" i="40"/>
  <c r="O6" i="40"/>
  <c r="O7" i="40"/>
  <c r="A8" i="40"/>
  <c r="D8" i="40"/>
  <c r="J8" i="40"/>
  <c r="O8" i="40"/>
  <c r="A9" i="40"/>
  <c r="D9" i="40" s="1"/>
  <c r="F9" i="40" s="1"/>
  <c r="J9" i="40"/>
  <c r="A10" i="40"/>
  <c r="D10" i="40" s="1"/>
  <c r="F10" i="40" s="1"/>
  <c r="J10" i="40"/>
  <c r="O10" i="40"/>
  <c r="B12" i="40"/>
  <c r="C11" i="11" s="1"/>
  <c r="A14" i="40"/>
  <c r="D14" i="40" s="1"/>
  <c r="J14" i="40"/>
  <c r="A15" i="40"/>
  <c r="D15" i="40" s="1"/>
  <c r="F15" i="40"/>
  <c r="J15" i="40"/>
  <c r="O15" i="40"/>
  <c r="A16" i="40"/>
  <c r="D16" i="40"/>
  <c r="F16" i="40" s="1"/>
  <c r="J16" i="40"/>
  <c r="O16" i="40"/>
  <c r="A17" i="40"/>
  <c r="J17" i="40"/>
  <c r="A18" i="40"/>
  <c r="J18" i="40"/>
  <c r="A19" i="40"/>
  <c r="J19" i="40"/>
  <c r="A20" i="40"/>
  <c r="J20" i="40"/>
  <c r="A21" i="40"/>
  <c r="J21" i="40"/>
  <c r="A22" i="40"/>
  <c r="D22" i="40"/>
  <c r="J22" i="40"/>
  <c r="O27" i="40" s="1"/>
  <c r="B24" i="40"/>
  <c r="B40" i="40"/>
  <c r="F40" i="40"/>
  <c r="F41" i="40"/>
  <c r="B53" i="40"/>
  <c r="F59" i="40"/>
  <c r="N62" i="40"/>
  <c r="I71" i="40"/>
  <c r="G73" i="40"/>
  <c r="D6" i="39"/>
  <c r="E6" i="39"/>
  <c r="F6" i="39" s="1"/>
  <c r="G6" i="39" s="1"/>
  <c r="H6" i="39" s="1"/>
  <c r="I6" i="39" s="1"/>
  <c r="J6" i="39" s="1"/>
  <c r="K6" i="39" s="1"/>
  <c r="L6" i="39" s="1"/>
  <c r="M6" i="39" s="1"/>
  <c r="N6" i="39" s="1"/>
  <c r="C9" i="39"/>
  <c r="D9" i="39"/>
  <c r="E9" i="39"/>
  <c r="F9" i="39"/>
  <c r="G9" i="39"/>
  <c r="H9" i="39"/>
  <c r="I9" i="39"/>
  <c r="J9" i="39"/>
  <c r="K9" i="39"/>
  <c r="L9" i="39"/>
  <c r="M9" i="39"/>
  <c r="N9" i="39"/>
  <c r="C10" i="39"/>
  <c r="D10" i="39"/>
  <c r="E10" i="39"/>
  <c r="F10" i="39"/>
  <c r="G10" i="39"/>
  <c r="H10" i="39"/>
  <c r="I10" i="39"/>
  <c r="J10" i="39"/>
  <c r="K10" i="39"/>
  <c r="L10" i="39"/>
  <c r="M10" i="39"/>
  <c r="N10" i="39"/>
  <c r="C27" i="39"/>
  <c r="C55" i="39" s="1"/>
  <c r="D27" i="39"/>
  <c r="D55" i="39" s="1"/>
  <c r="E27" i="39"/>
  <c r="F27" i="39"/>
  <c r="F55" i="39" s="1"/>
  <c r="F82" i="39" s="1"/>
  <c r="G27" i="39"/>
  <c r="G55" i="39" s="1"/>
  <c r="H27" i="39"/>
  <c r="I27" i="39"/>
  <c r="J27" i="39"/>
  <c r="K27" i="39"/>
  <c r="K55" i="39" s="1"/>
  <c r="L27" i="39"/>
  <c r="L55" i="39" s="1"/>
  <c r="L82" i="39" s="1"/>
  <c r="M27" i="39"/>
  <c r="N27" i="39"/>
  <c r="C28" i="39"/>
  <c r="C56" i="39" s="1"/>
  <c r="D28" i="39"/>
  <c r="D56" i="39" s="1"/>
  <c r="D83" i="39" s="1"/>
  <c r="E28" i="39"/>
  <c r="F28" i="39"/>
  <c r="G28" i="39"/>
  <c r="G56" i="39" s="1"/>
  <c r="H28" i="39"/>
  <c r="I28" i="39"/>
  <c r="J28" i="39"/>
  <c r="J56" i="39" s="1"/>
  <c r="K28" i="39"/>
  <c r="K56" i="39" s="1"/>
  <c r="L28" i="39"/>
  <c r="L56" i="39" s="1"/>
  <c r="L83" i="39" s="1"/>
  <c r="M28" i="39"/>
  <c r="N28" i="39"/>
  <c r="C29" i="39"/>
  <c r="C57" i="39" s="1"/>
  <c r="D29" i="39"/>
  <c r="D57" i="39" s="1"/>
  <c r="D84" i="39" s="1"/>
  <c r="E29" i="39"/>
  <c r="F29" i="39"/>
  <c r="G29" i="39"/>
  <c r="G57" i="39" s="1"/>
  <c r="H29" i="39"/>
  <c r="I29" i="39"/>
  <c r="J29" i="39"/>
  <c r="K29" i="39"/>
  <c r="K57" i="39" s="1"/>
  <c r="L29" i="39"/>
  <c r="L57" i="39" s="1"/>
  <c r="L84" i="39" s="1"/>
  <c r="M29" i="39"/>
  <c r="N29" i="39"/>
  <c r="N57" i="39" s="1"/>
  <c r="C30" i="39"/>
  <c r="C58" i="39" s="1"/>
  <c r="D30" i="39"/>
  <c r="E30" i="39"/>
  <c r="F30" i="39"/>
  <c r="G30" i="39"/>
  <c r="G58" i="39" s="1"/>
  <c r="H30" i="39"/>
  <c r="H58" i="39" s="1"/>
  <c r="H85" i="39" s="1"/>
  <c r="I30" i="39"/>
  <c r="J30" i="39"/>
  <c r="K30" i="39"/>
  <c r="K58" i="39" s="1"/>
  <c r="L30" i="39"/>
  <c r="L58" i="39" s="1"/>
  <c r="L85" i="39" s="1"/>
  <c r="M30" i="39"/>
  <c r="N30" i="39"/>
  <c r="C31" i="39"/>
  <c r="C59" i="39" s="1"/>
  <c r="C86" i="39" s="1"/>
  <c r="D31" i="39"/>
  <c r="E31" i="39"/>
  <c r="F31" i="39"/>
  <c r="G31" i="39"/>
  <c r="G59" i="39" s="1"/>
  <c r="G86" i="39" s="1"/>
  <c r="H31" i="39"/>
  <c r="I31" i="39"/>
  <c r="J31" i="39"/>
  <c r="K31" i="39"/>
  <c r="K59" i="39" s="1"/>
  <c r="K86" i="39" s="1"/>
  <c r="L31" i="39"/>
  <c r="L59" i="39" s="1"/>
  <c r="L86" i="39" s="1"/>
  <c r="M31" i="39"/>
  <c r="N31" i="39"/>
  <c r="C32" i="39"/>
  <c r="C60" i="39" s="1"/>
  <c r="D32" i="39"/>
  <c r="D60" i="39" s="1"/>
  <c r="D87" i="39" s="1"/>
  <c r="E32" i="39"/>
  <c r="E60" i="39" s="1"/>
  <c r="F32" i="39"/>
  <c r="G32" i="39"/>
  <c r="G60" i="39" s="1"/>
  <c r="G87" i="39" s="1"/>
  <c r="H32" i="39"/>
  <c r="I32" i="39"/>
  <c r="J32" i="39"/>
  <c r="K32" i="39"/>
  <c r="K60" i="39" s="1"/>
  <c r="L32" i="39"/>
  <c r="L60" i="39" s="1"/>
  <c r="L87" i="39" s="1"/>
  <c r="M32" i="39"/>
  <c r="N32" i="39"/>
  <c r="C33" i="39"/>
  <c r="C61" i="39" s="1"/>
  <c r="C88" i="39" s="1"/>
  <c r="D33" i="39"/>
  <c r="D61" i="39" s="1"/>
  <c r="D88" i="39" s="1"/>
  <c r="E33" i="39"/>
  <c r="E61" i="39" s="1"/>
  <c r="F33" i="39"/>
  <c r="G33" i="39"/>
  <c r="G61" i="39" s="1"/>
  <c r="H33" i="39"/>
  <c r="I33" i="39"/>
  <c r="I61" i="39" s="1"/>
  <c r="J33" i="39"/>
  <c r="K33" i="39"/>
  <c r="K61" i="39" s="1"/>
  <c r="L33" i="39"/>
  <c r="L61" i="39" s="1"/>
  <c r="L88" i="39" s="1"/>
  <c r="M33" i="39"/>
  <c r="N33" i="39"/>
  <c r="C34" i="39"/>
  <c r="C62" i="39" s="1"/>
  <c r="D34" i="39"/>
  <c r="E34" i="39"/>
  <c r="F34" i="39"/>
  <c r="G34" i="39"/>
  <c r="G62" i="39" s="1"/>
  <c r="H34" i="39"/>
  <c r="I34" i="39"/>
  <c r="I62" i="39" s="1"/>
  <c r="J34" i="39"/>
  <c r="K34" i="39"/>
  <c r="K62" i="39" s="1"/>
  <c r="L34" i="39"/>
  <c r="L62" i="39" s="1"/>
  <c r="L89" i="39" s="1"/>
  <c r="M34" i="39"/>
  <c r="M62" i="39" s="1"/>
  <c r="N34" i="39"/>
  <c r="C35" i="39"/>
  <c r="C63" i="39" s="1"/>
  <c r="D35" i="39"/>
  <c r="E35" i="39"/>
  <c r="F35" i="39"/>
  <c r="G35" i="39"/>
  <c r="G63" i="39" s="1"/>
  <c r="H35" i="39"/>
  <c r="H63" i="39" s="1"/>
  <c r="H90" i="39" s="1"/>
  <c r="I35" i="39"/>
  <c r="J35" i="39"/>
  <c r="K35" i="39"/>
  <c r="K63" i="39" s="1"/>
  <c r="L35" i="39"/>
  <c r="L63" i="39" s="1"/>
  <c r="L90" i="39" s="1"/>
  <c r="M35" i="39"/>
  <c r="M63" i="39" s="1"/>
  <c r="M90" i="39" s="1"/>
  <c r="N35" i="39"/>
  <c r="C36" i="39"/>
  <c r="C64" i="39" s="1"/>
  <c r="D36" i="39"/>
  <c r="E36" i="39"/>
  <c r="E64" i="39" s="1"/>
  <c r="E91" i="39" s="1"/>
  <c r="F36" i="39"/>
  <c r="G36" i="39"/>
  <c r="G64" i="39" s="1"/>
  <c r="H36" i="39"/>
  <c r="H64" i="39" s="1"/>
  <c r="H91" i="39" s="1"/>
  <c r="I36" i="39"/>
  <c r="J36" i="39"/>
  <c r="K36" i="39"/>
  <c r="K64" i="39" s="1"/>
  <c r="L36" i="39"/>
  <c r="M36" i="39"/>
  <c r="N36" i="39"/>
  <c r="C37" i="39"/>
  <c r="D37" i="39"/>
  <c r="E37" i="39"/>
  <c r="F37" i="39"/>
  <c r="G37" i="39"/>
  <c r="H37" i="39"/>
  <c r="I37" i="39"/>
  <c r="J37" i="39"/>
  <c r="K37" i="39"/>
  <c r="L37" i="39"/>
  <c r="M37" i="39"/>
  <c r="N37" i="39"/>
  <c r="C38" i="39"/>
  <c r="D38" i="39"/>
  <c r="E38" i="39"/>
  <c r="F38" i="39"/>
  <c r="G38" i="39"/>
  <c r="H38" i="39"/>
  <c r="I38" i="39"/>
  <c r="J38" i="39"/>
  <c r="K38" i="39"/>
  <c r="L38" i="39"/>
  <c r="M38" i="39"/>
  <c r="N38" i="39"/>
  <c r="E55" i="39"/>
  <c r="H55" i="39"/>
  <c r="H82" i="39" s="1"/>
  <c r="I55" i="39"/>
  <c r="J55" i="39"/>
  <c r="M55" i="39"/>
  <c r="M82" i="39" s="1"/>
  <c r="N55" i="39"/>
  <c r="E56" i="39"/>
  <c r="E83" i="39" s="1"/>
  <c r="F56" i="39"/>
  <c r="H56" i="39"/>
  <c r="I56" i="39"/>
  <c r="I83" i="39" s="1"/>
  <c r="M56" i="39"/>
  <c r="N56" i="39"/>
  <c r="N83" i="39" s="1"/>
  <c r="E57" i="39"/>
  <c r="F57" i="39"/>
  <c r="F84" i="39" s="1"/>
  <c r="H57" i="39"/>
  <c r="H84" i="39" s="1"/>
  <c r="I57" i="39"/>
  <c r="J57" i="39"/>
  <c r="M57" i="39"/>
  <c r="M84" i="39" s="1"/>
  <c r="D58" i="39"/>
  <c r="D85" i="39" s="1"/>
  <c r="E58" i="39"/>
  <c r="E85" i="39" s="1"/>
  <c r="F58" i="39"/>
  <c r="F85" i="39" s="1"/>
  <c r="I58" i="39"/>
  <c r="I85" i="39" s="1"/>
  <c r="J58" i="39"/>
  <c r="J85" i="39" s="1"/>
  <c r="M58" i="39"/>
  <c r="N58" i="39"/>
  <c r="D59" i="39"/>
  <c r="D86" i="39" s="1"/>
  <c r="E59" i="39"/>
  <c r="F59" i="39"/>
  <c r="H59" i="39"/>
  <c r="I59" i="39"/>
  <c r="I86" i="39" s="1"/>
  <c r="J59" i="39"/>
  <c r="M59" i="39"/>
  <c r="N59" i="39"/>
  <c r="N86" i="39" s="1"/>
  <c r="F60" i="39"/>
  <c r="H60" i="39"/>
  <c r="H87" i="39" s="1"/>
  <c r="I60" i="39"/>
  <c r="I87" i="39" s="1"/>
  <c r="J60" i="39"/>
  <c r="M60" i="39"/>
  <c r="M87" i="39" s="1"/>
  <c r="N60" i="39"/>
  <c r="N87" i="39" s="1"/>
  <c r="F61" i="39"/>
  <c r="F88" i="39" s="1"/>
  <c r="H61" i="39"/>
  <c r="H88" i="39" s="1"/>
  <c r="J61" i="39"/>
  <c r="J88" i="39" s="1"/>
  <c r="M61" i="39"/>
  <c r="N61" i="39"/>
  <c r="N88" i="39" s="1"/>
  <c r="D62" i="39"/>
  <c r="D89" i="39" s="1"/>
  <c r="E62" i="39"/>
  <c r="E89" i="39" s="1"/>
  <c r="F62" i="39"/>
  <c r="F89" i="39" s="1"/>
  <c r="H62" i="39"/>
  <c r="H89" i="39" s="1"/>
  <c r="J62" i="39"/>
  <c r="J89" i="39" s="1"/>
  <c r="N62" i="39"/>
  <c r="D63" i="39"/>
  <c r="E63" i="39"/>
  <c r="E90" i="39" s="1"/>
  <c r="F63" i="39"/>
  <c r="I63" i="39"/>
  <c r="I90" i="39" s="1"/>
  <c r="J63" i="39"/>
  <c r="J90" i="39" s="1"/>
  <c r="N63" i="39"/>
  <c r="N90" i="39" s="1"/>
  <c r="D64" i="39"/>
  <c r="D91" i="39" s="1"/>
  <c r="F64" i="39"/>
  <c r="F91" i="39" s="1"/>
  <c r="I64" i="39"/>
  <c r="I91" i="39" s="1"/>
  <c r="J64" i="39"/>
  <c r="J91" i="39" s="1"/>
  <c r="L64" i="39"/>
  <c r="L91" i="39" s="1"/>
  <c r="M64" i="39"/>
  <c r="M91" i="39" s="1"/>
  <c r="N64" i="39"/>
  <c r="O79" i="39"/>
  <c r="C82" i="39"/>
  <c r="G82" i="39"/>
  <c r="K82" i="39"/>
  <c r="C83" i="39"/>
  <c r="F83" i="39"/>
  <c r="G83" i="39"/>
  <c r="J83" i="39"/>
  <c r="K83" i="39"/>
  <c r="C84" i="39"/>
  <c r="E84" i="39"/>
  <c r="G84" i="39"/>
  <c r="J84" i="39"/>
  <c r="K84" i="39"/>
  <c r="N84" i="39"/>
  <c r="C85" i="39"/>
  <c r="G85" i="39"/>
  <c r="K85" i="39"/>
  <c r="M85" i="39"/>
  <c r="N85" i="39"/>
  <c r="E86" i="39"/>
  <c r="F86" i="39"/>
  <c r="H86" i="39"/>
  <c r="J86" i="39"/>
  <c r="M86" i="39"/>
  <c r="C87" i="39"/>
  <c r="E87" i="39"/>
  <c r="F87" i="39"/>
  <c r="J87" i="39"/>
  <c r="K87" i="39"/>
  <c r="E88" i="39"/>
  <c r="G88" i="39"/>
  <c r="K88" i="39"/>
  <c r="M88" i="39"/>
  <c r="C89" i="39"/>
  <c r="G89" i="39"/>
  <c r="I89" i="39"/>
  <c r="K89" i="39"/>
  <c r="M89" i="39"/>
  <c r="N89" i="39"/>
  <c r="C90" i="39"/>
  <c r="D90" i="39"/>
  <c r="F90" i="39"/>
  <c r="G90" i="39"/>
  <c r="K90" i="39"/>
  <c r="C91" i="39"/>
  <c r="G91" i="39"/>
  <c r="K91" i="39"/>
  <c r="N91" i="39"/>
  <c r="A2" i="38"/>
  <c r="A2" i="37"/>
  <c r="A7" i="37"/>
  <c r="E7" i="37" s="1"/>
  <c r="F7" i="37"/>
  <c r="A2" i="36"/>
  <c r="O5" i="35"/>
  <c r="O6" i="35"/>
  <c r="O7" i="35"/>
  <c r="A8" i="35"/>
  <c r="K8" i="35" s="1"/>
  <c r="J8" i="35"/>
  <c r="J25" i="35" s="1"/>
  <c r="G53" i="35" s="1"/>
  <c r="J9" i="35"/>
  <c r="J10" i="35"/>
  <c r="B11" i="35"/>
  <c r="C39" i="11" s="1"/>
  <c r="J13" i="35"/>
  <c r="J14" i="35"/>
  <c r="J15" i="35"/>
  <c r="J16" i="35"/>
  <c r="J17" i="35"/>
  <c r="J18" i="35"/>
  <c r="J19" i="35"/>
  <c r="J20" i="35"/>
  <c r="J21" i="35"/>
  <c r="O27" i="35" s="1"/>
  <c r="B23" i="35"/>
  <c r="O58" i="35"/>
  <c r="O86" i="39" l="1"/>
  <c r="M10" i="41"/>
  <c r="O10" i="41" s="1"/>
  <c r="I20" i="41"/>
  <c r="E17" i="43"/>
  <c r="I17" i="43"/>
  <c r="C17" i="43"/>
  <c r="G17" i="43"/>
  <c r="K17" i="43"/>
  <c r="D17" i="43"/>
  <c r="H17" i="43"/>
  <c r="L17" i="43"/>
  <c r="D65" i="44"/>
  <c r="D92" i="44" s="1"/>
  <c r="F37" i="35"/>
  <c r="F38" i="35" s="1"/>
  <c r="O90" i="39"/>
  <c r="O84" i="39"/>
  <c r="H65" i="39"/>
  <c r="H92" i="39" s="1"/>
  <c r="B25" i="35"/>
  <c r="I69" i="35" s="1"/>
  <c r="C40" i="11"/>
  <c r="F44" i="40"/>
  <c r="F45" i="40" s="1"/>
  <c r="C12" i="11"/>
  <c r="M11" i="41"/>
  <c r="O11" i="41" s="1"/>
  <c r="J8" i="42"/>
  <c r="J82" i="44"/>
  <c r="J93" i="44" s="1"/>
  <c r="J94" i="44" s="1"/>
  <c r="J65" i="44"/>
  <c r="J92" i="44" s="1"/>
  <c r="J66" i="44"/>
  <c r="F82" i="44"/>
  <c r="F66" i="44"/>
  <c r="F65" i="44"/>
  <c r="F92" i="44" s="1"/>
  <c r="L7" i="37"/>
  <c r="O91" i="39"/>
  <c r="J7" i="37"/>
  <c r="F47" i="40"/>
  <c r="G47" i="40" s="1"/>
  <c r="J17" i="43"/>
  <c r="H65" i="44"/>
  <c r="H92" i="44" s="1"/>
  <c r="J26" i="40"/>
  <c r="G56" i="40" s="1"/>
  <c r="M14" i="41"/>
  <c r="O14" i="41" s="1"/>
  <c r="E8" i="42"/>
  <c r="I8" i="42"/>
  <c r="A9" i="42"/>
  <c r="C8" i="42"/>
  <c r="G8" i="42"/>
  <c r="K8" i="42"/>
  <c r="D8" i="42"/>
  <c r="H8" i="42"/>
  <c r="L8" i="42"/>
  <c r="L82" i="44"/>
  <c r="L65" i="44"/>
  <c r="L92" i="44" s="1"/>
  <c r="H93" i="44"/>
  <c r="T82" i="44"/>
  <c r="M93" i="44"/>
  <c r="O14" i="40"/>
  <c r="M15" i="41"/>
  <c r="O15" i="41" s="1"/>
  <c r="J20" i="41"/>
  <c r="F20" i="41"/>
  <c r="J18" i="43"/>
  <c r="E18" i="43"/>
  <c r="J14" i="43"/>
  <c r="E14" i="43"/>
  <c r="G12" i="43"/>
  <c r="J11" i="43"/>
  <c r="L10" i="43"/>
  <c r="F10" i="43"/>
  <c r="L9" i="43"/>
  <c r="H9" i="43"/>
  <c r="D9" i="43"/>
  <c r="T69" i="44"/>
  <c r="U69" i="44" s="1"/>
  <c r="D66" i="44"/>
  <c r="E65" i="44"/>
  <c r="F12" i="43"/>
  <c r="I11" i="43"/>
  <c r="J10" i="43"/>
  <c r="E10" i="43"/>
  <c r="K9" i="43"/>
  <c r="G9" i="43"/>
  <c r="G8" i="43"/>
  <c r="J7" i="43"/>
  <c r="D82" i="44"/>
  <c r="D93" i="44" s="1"/>
  <c r="D94" i="44" s="1"/>
  <c r="M66" i="44"/>
  <c r="H66" i="44"/>
  <c r="N65" i="44"/>
  <c r="N92" i="44" s="1"/>
  <c r="N93" i="44" s="1"/>
  <c r="I65" i="44"/>
  <c r="I92" i="44" s="1"/>
  <c r="E20" i="41"/>
  <c r="K12" i="43"/>
  <c r="F11" i="43"/>
  <c r="I10" i="43"/>
  <c r="D10" i="43"/>
  <c r="C13" i="11"/>
  <c r="E20" i="11" s="1"/>
  <c r="E25" i="11" s="1"/>
  <c r="C30" i="11" s="1"/>
  <c r="U76" i="44"/>
  <c r="U80" i="44"/>
  <c r="U79" i="44"/>
  <c r="U77" i="44"/>
  <c r="U72" i="44"/>
  <c r="T85" i="44"/>
  <c r="U70" i="44"/>
  <c r="C41" i="11"/>
  <c r="E48" i="11" s="1"/>
  <c r="E53" i="11" s="1"/>
  <c r="B27" i="35"/>
  <c r="A9" i="35"/>
  <c r="F41" i="35"/>
  <c r="F42" i="35" s="1"/>
  <c r="F44" i="35" s="1"/>
  <c r="G44" i="35" s="1"/>
  <c r="M83" i="39"/>
  <c r="C7" i="37"/>
  <c r="G7" i="37"/>
  <c r="K7" i="37"/>
  <c r="A7" i="38"/>
  <c r="D7" i="37"/>
  <c r="F65" i="39"/>
  <c r="D21" i="40"/>
  <c r="O21" i="40"/>
  <c r="D19" i="40"/>
  <c r="O19" i="40"/>
  <c r="D17" i="40"/>
  <c r="O17" i="40"/>
  <c r="F14" i="40"/>
  <c r="A8" i="37"/>
  <c r="I7" i="37"/>
  <c r="O89" i="39"/>
  <c r="L66" i="39"/>
  <c r="M65" i="39"/>
  <c r="M92" i="39" s="1"/>
  <c r="O88" i="39"/>
  <c r="L65" i="39"/>
  <c r="L92" i="39" s="1"/>
  <c r="L93" i="39" s="1"/>
  <c r="O87" i="39"/>
  <c r="J82" i="39"/>
  <c r="J93" i="39" s="1"/>
  <c r="J65" i="39"/>
  <c r="J92" i="39" s="1"/>
  <c r="E65" i="39"/>
  <c r="E92" i="39" s="1"/>
  <c r="E82" i="39"/>
  <c r="E93" i="39" s="1"/>
  <c r="O85" i="39"/>
  <c r="H66" i="39"/>
  <c r="H83" i="39"/>
  <c r="H93" i="39" s="1"/>
  <c r="H94" i="39" s="1"/>
  <c r="N82" i="39"/>
  <c r="N65" i="39"/>
  <c r="N92" i="39" s="1"/>
  <c r="I65" i="39"/>
  <c r="I92" i="39" s="1"/>
  <c r="I82" i="39"/>
  <c r="D65" i="39"/>
  <c r="D92" i="39" s="1"/>
  <c r="D82" i="39"/>
  <c r="K65" i="39"/>
  <c r="K92" i="39" s="1"/>
  <c r="K93" i="39" s="1"/>
  <c r="K66" i="39"/>
  <c r="G65" i="39"/>
  <c r="G92" i="39" s="1"/>
  <c r="G93" i="39" s="1"/>
  <c r="C65" i="39"/>
  <c r="C66" i="39"/>
  <c r="B26" i="40"/>
  <c r="B29" i="40" s="1"/>
  <c r="B44" i="40"/>
  <c r="A3" i="40"/>
  <c r="O22" i="40"/>
  <c r="D20" i="40"/>
  <c r="O20" i="40"/>
  <c r="D18" i="40"/>
  <c r="D24" i="40" s="1"/>
  <c r="F24" i="40" s="1"/>
  <c r="O18" i="40"/>
  <c r="O9" i="40"/>
  <c r="M17" i="41"/>
  <c r="O17" i="41" s="1"/>
  <c r="M12" i="41"/>
  <c r="O12" i="41" s="1"/>
  <c r="M9" i="41"/>
  <c r="O9" i="41" s="1"/>
  <c r="L20" i="41"/>
  <c r="H20" i="41"/>
  <c r="D20" i="41"/>
  <c r="F8" i="40"/>
  <c r="D12" i="40"/>
  <c r="K20" i="41"/>
  <c r="G20" i="41"/>
  <c r="M7" i="41"/>
  <c r="O7" i="41" s="1"/>
  <c r="M16" i="41"/>
  <c r="O16" i="41" s="1"/>
  <c r="M13" i="41"/>
  <c r="O13" i="41" s="1"/>
  <c r="M8" i="41"/>
  <c r="O8" i="41" s="1"/>
  <c r="N7" i="42"/>
  <c r="D16" i="43"/>
  <c r="H16" i="43"/>
  <c r="L16" i="43"/>
  <c r="E16" i="43"/>
  <c r="I16" i="43"/>
  <c r="K82" i="44"/>
  <c r="K93" i="44" s="1"/>
  <c r="K65" i="44"/>
  <c r="K92" i="44" s="1"/>
  <c r="G82" i="44"/>
  <c r="G65" i="44"/>
  <c r="G92" i="44" s="1"/>
  <c r="C82" i="44"/>
  <c r="C65" i="44"/>
  <c r="C66" i="44" s="1"/>
  <c r="G16" i="43"/>
  <c r="C15" i="43"/>
  <c r="G15" i="43"/>
  <c r="K15" i="43"/>
  <c r="D15" i="43"/>
  <c r="H15" i="43"/>
  <c r="L15" i="43"/>
  <c r="C20" i="41"/>
  <c r="F16" i="43"/>
  <c r="I15" i="43"/>
  <c r="D12" i="43"/>
  <c r="H12" i="43"/>
  <c r="L12" i="43"/>
  <c r="E12" i="43"/>
  <c r="I12" i="43"/>
  <c r="K16" i="43"/>
  <c r="C16" i="43"/>
  <c r="F15" i="43"/>
  <c r="C11" i="43"/>
  <c r="G11" i="43"/>
  <c r="K11" i="43"/>
  <c r="D11" i="43"/>
  <c r="H11" i="43"/>
  <c r="L11" i="43"/>
  <c r="A1" i="43"/>
  <c r="E7" i="43"/>
  <c r="I7" i="43"/>
  <c r="C7" i="43"/>
  <c r="G7" i="43"/>
  <c r="K7" i="43"/>
  <c r="D7" i="43"/>
  <c r="H7" i="43"/>
  <c r="L7" i="43"/>
  <c r="I93" i="44"/>
  <c r="K18" i="43"/>
  <c r="G18" i="43"/>
  <c r="K14" i="43"/>
  <c r="G14" i="43"/>
  <c r="K10" i="43"/>
  <c r="G10" i="43"/>
  <c r="I8" i="43"/>
  <c r="E8" i="43"/>
  <c r="L8" i="43"/>
  <c r="H8" i="43"/>
  <c r="M94" i="44" l="1"/>
  <c r="F9" i="42"/>
  <c r="J9" i="42"/>
  <c r="D9" i="42"/>
  <c r="H9" i="42"/>
  <c r="L9" i="42"/>
  <c r="E9" i="42"/>
  <c r="I9" i="42"/>
  <c r="A10" i="42"/>
  <c r="G9" i="42"/>
  <c r="K9" i="42"/>
  <c r="C9" i="42"/>
  <c r="G93" i="44"/>
  <c r="O25" i="40"/>
  <c r="O26" i="40" s="1"/>
  <c r="O38" i="40" s="1"/>
  <c r="I66" i="44"/>
  <c r="I94" i="44"/>
  <c r="M20" i="41"/>
  <c r="E15" i="11" s="1"/>
  <c r="K66" i="44"/>
  <c r="K94" i="44" s="1"/>
  <c r="K94" i="39"/>
  <c r="M93" i="39"/>
  <c r="N66" i="44"/>
  <c r="N94" i="44" s="1"/>
  <c r="H94" i="44"/>
  <c r="L93" i="44"/>
  <c r="L94" i="44" s="1"/>
  <c r="D93" i="39"/>
  <c r="N66" i="39"/>
  <c r="E66" i="39"/>
  <c r="E94" i="39" s="1"/>
  <c r="E92" i="44"/>
  <c r="E93" i="44" s="1"/>
  <c r="E66" i="44"/>
  <c r="L66" i="44"/>
  <c r="N8" i="42"/>
  <c r="F93" i="44"/>
  <c r="F94" i="44" s="1"/>
  <c r="G66" i="44"/>
  <c r="C92" i="39"/>
  <c r="C52" i="39"/>
  <c r="I66" i="39"/>
  <c r="L94" i="39"/>
  <c r="H7" i="37"/>
  <c r="N7" i="37" s="1"/>
  <c r="M66" i="39"/>
  <c r="O83" i="39"/>
  <c r="D26" i="40"/>
  <c r="F12" i="40"/>
  <c r="G66" i="39"/>
  <c r="G94" i="39" s="1"/>
  <c r="D66" i="39"/>
  <c r="I93" i="39"/>
  <c r="N93" i="39"/>
  <c r="N94" i="39" s="1"/>
  <c r="J66" i="39"/>
  <c r="A8" i="38"/>
  <c r="C8" i="37"/>
  <c r="G8" i="37"/>
  <c r="A9" i="37"/>
  <c r="F8" i="37"/>
  <c r="K8" i="37"/>
  <c r="H8" i="37"/>
  <c r="L8" i="37"/>
  <c r="E8" i="37"/>
  <c r="D8" i="37"/>
  <c r="I8" i="37"/>
  <c r="J8" i="37"/>
  <c r="C52" i="44"/>
  <c r="C92" i="44"/>
  <c r="C93" i="44" s="1"/>
  <c r="G94" i="44"/>
  <c r="O20" i="41"/>
  <c r="D94" i="39"/>
  <c r="O82" i="39"/>
  <c r="J94" i="39"/>
  <c r="F92" i="39"/>
  <c r="F93" i="39" s="1"/>
  <c r="F66" i="39"/>
  <c r="K9" i="35"/>
  <c r="A10" i="35"/>
  <c r="E7" i="38"/>
  <c r="E7" i="36" s="1"/>
  <c r="I7" i="38"/>
  <c r="I7" i="36" s="1"/>
  <c r="F7" i="38"/>
  <c r="F7" i="36" s="1"/>
  <c r="J7" i="38"/>
  <c r="J7" i="36" s="1"/>
  <c r="D7" i="38"/>
  <c r="D7" i="36" s="1"/>
  <c r="L7" i="38"/>
  <c r="L7" i="36" s="1"/>
  <c r="G7" i="38"/>
  <c r="G7" i="36" s="1"/>
  <c r="K7" i="38"/>
  <c r="K7" i="36" s="1"/>
  <c r="H7" i="38"/>
  <c r="C7" i="38"/>
  <c r="C7" i="36" s="1"/>
  <c r="A7" i="36"/>
  <c r="D6" i="34"/>
  <c r="E6" i="34" s="1"/>
  <c r="F6" i="34" s="1"/>
  <c r="G6" i="34" s="1"/>
  <c r="H6" i="34" s="1"/>
  <c r="I6" i="34" s="1"/>
  <c r="J6" i="34" s="1"/>
  <c r="K6" i="34" s="1"/>
  <c r="L6" i="34" s="1"/>
  <c r="M6" i="34" s="1"/>
  <c r="N6" i="34" s="1"/>
  <c r="C9" i="34"/>
  <c r="D9" i="34"/>
  <c r="E9" i="34"/>
  <c r="F9" i="34"/>
  <c r="G9" i="34"/>
  <c r="H9" i="34"/>
  <c r="I9" i="34"/>
  <c r="J9" i="34"/>
  <c r="K9" i="34"/>
  <c r="L9" i="34"/>
  <c r="M9" i="34"/>
  <c r="N9" i="34"/>
  <c r="C10" i="34"/>
  <c r="D10" i="34"/>
  <c r="D30" i="34" s="1"/>
  <c r="D58" i="34" s="1"/>
  <c r="D85" i="34" s="1"/>
  <c r="E10" i="34"/>
  <c r="F10" i="34"/>
  <c r="G10" i="34"/>
  <c r="H10" i="34"/>
  <c r="I10" i="34"/>
  <c r="J10" i="34"/>
  <c r="K10" i="34"/>
  <c r="L10" i="34"/>
  <c r="M10" i="34"/>
  <c r="N10" i="34"/>
  <c r="N37" i="34" s="1"/>
  <c r="D13" i="34"/>
  <c r="D14" i="34"/>
  <c r="E14" i="34" s="1"/>
  <c r="E28" i="34" s="1"/>
  <c r="E56" i="34" s="1"/>
  <c r="D15" i="34"/>
  <c r="E15" i="34" s="1"/>
  <c r="D16" i="34"/>
  <c r="E16" i="34" s="1"/>
  <c r="D17" i="34"/>
  <c r="E17" i="34" s="1"/>
  <c r="D18" i="34"/>
  <c r="E18" i="34" s="1"/>
  <c r="E32" i="34" s="1"/>
  <c r="E60" i="34" s="1"/>
  <c r="E87" i="34" s="1"/>
  <c r="D19" i="34"/>
  <c r="E19" i="34" s="1"/>
  <c r="D20" i="34"/>
  <c r="E20" i="34" s="1"/>
  <c r="D21" i="34"/>
  <c r="E21" i="34"/>
  <c r="D22" i="34"/>
  <c r="E22" i="34" s="1"/>
  <c r="E36" i="34" s="1"/>
  <c r="E64" i="34" s="1"/>
  <c r="E91" i="34" s="1"/>
  <c r="F22" i="34"/>
  <c r="D23" i="34"/>
  <c r="E23" i="34" s="1"/>
  <c r="N27" i="34"/>
  <c r="D28" i="34"/>
  <c r="D56" i="34" s="1"/>
  <c r="D31" i="34"/>
  <c r="D59" i="34" s="1"/>
  <c r="D86" i="34" s="1"/>
  <c r="D33" i="34"/>
  <c r="D61" i="34" s="1"/>
  <c r="D35" i="34"/>
  <c r="D63" i="34" s="1"/>
  <c r="D90" i="34" s="1"/>
  <c r="D36" i="34"/>
  <c r="D37" i="34"/>
  <c r="N55" i="34"/>
  <c r="N82" i="34" s="1"/>
  <c r="D64" i="34"/>
  <c r="O79" i="34"/>
  <c r="D83" i="34"/>
  <c r="E83" i="34"/>
  <c r="D88" i="34"/>
  <c r="D91" i="34"/>
  <c r="A2" i="33"/>
  <c r="K7" i="33"/>
  <c r="A2" i="32"/>
  <c r="A7" i="32"/>
  <c r="A7" i="33" s="1"/>
  <c r="C7" i="33" s="1"/>
  <c r="A8" i="32"/>
  <c r="A2" i="31"/>
  <c r="O5" i="30"/>
  <c r="O6" i="30"/>
  <c r="O7" i="30"/>
  <c r="A8" i="30"/>
  <c r="J8" i="30"/>
  <c r="J9" i="30"/>
  <c r="J10" i="30"/>
  <c r="B11" i="30"/>
  <c r="I38" i="11" s="1"/>
  <c r="J13" i="30"/>
  <c r="J14" i="30"/>
  <c r="J15" i="30"/>
  <c r="J16" i="30"/>
  <c r="J17" i="30"/>
  <c r="J18" i="30"/>
  <c r="J19" i="30"/>
  <c r="J20" i="30"/>
  <c r="F21" i="30"/>
  <c r="J21" i="30"/>
  <c r="B23" i="30"/>
  <c r="B25" i="30" s="1"/>
  <c r="I69" i="30" s="1"/>
  <c r="B27" i="30"/>
  <c r="K51" i="11" s="1"/>
  <c r="O27" i="30"/>
  <c r="F37" i="30"/>
  <c r="F38" i="30"/>
  <c r="O58" i="30"/>
  <c r="B2" i="29"/>
  <c r="B3" i="29"/>
  <c r="D6" i="29"/>
  <c r="E6" i="29" s="1"/>
  <c r="F6" i="29" s="1"/>
  <c r="G6" i="29" s="1"/>
  <c r="H6" i="29" s="1"/>
  <c r="I6" i="29" s="1"/>
  <c r="J6" i="29" s="1"/>
  <c r="K6" i="29" s="1"/>
  <c r="L6" i="29" s="1"/>
  <c r="M6" i="29" s="1"/>
  <c r="N6" i="29" s="1"/>
  <c r="T68" i="29" s="1"/>
  <c r="C9" i="29"/>
  <c r="D9" i="29"/>
  <c r="E9" i="29"/>
  <c r="F9" i="29"/>
  <c r="G9" i="29"/>
  <c r="H9" i="29"/>
  <c r="I9" i="29"/>
  <c r="J9" i="29"/>
  <c r="K9" i="29"/>
  <c r="L9" i="29"/>
  <c r="M9" i="29"/>
  <c r="N9" i="29"/>
  <c r="C10" i="29"/>
  <c r="D10" i="29"/>
  <c r="E10" i="29"/>
  <c r="F10" i="29"/>
  <c r="G10" i="29"/>
  <c r="H10" i="29"/>
  <c r="I10" i="29"/>
  <c r="J10" i="29"/>
  <c r="K10" i="29"/>
  <c r="L10" i="29"/>
  <c r="M10" i="29"/>
  <c r="N10" i="29"/>
  <c r="D13" i="29"/>
  <c r="E13" i="29" s="1"/>
  <c r="F13" i="29" s="1"/>
  <c r="G13" i="29" s="1"/>
  <c r="D14" i="29"/>
  <c r="D15" i="29"/>
  <c r="E15" i="29" s="1"/>
  <c r="F15" i="29" s="1"/>
  <c r="D16" i="29"/>
  <c r="D30" i="29" s="1"/>
  <c r="D58" i="29" s="1"/>
  <c r="D85" i="29" s="1"/>
  <c r="D17" i="29"/>
  <c r="E17" i="29" s="1"/>
  <c r="F17" i="29" s="1"/>
  <c r="F31" i="29" s="1"/>
  <c r="F59" i="29" s="1"/>
  <c r="F86" i="29" s="1"/>
  <c r="D18" i="29"/>
  <c r="D19" i="29"/>
  <c r="E19" i="29" s="1"/>
  <c r="F19" i="29" s="1"/>
  <c r="D20" i="29"/>
  <c r="E20" i="29"/>
  <c r="F20" i="29" s="1"/>
  <c r="D21" i="29"/>
  <c r="E21" i="29" s="1"/>
  <c r="F21" i="29" s="1"/>
  <c r="G21" i="29"/>
  <c r="D22" i="29"/>
  <c r="D23" i="29"/>
  <c r="E23" i="29"/>
  <c r="F23" i="29" s="1"/>
  <c r="G23" i="29" s="1"/>
  <c r="C27" i="29"/>
  <c r="D27" i="29"/>
  <c r="N27" i="29"/>
  <c r="N55" i="29" s="1"/>
  <c r="C28" i="29"/>
  <c r="C29" i="29"/>
  <c r="D29" i="29"/>
  <c r="D57" i="29" s="1"/>
  <c r="D84" i="29" s="1"/>
  <c r="C30" i="29"/>
  <c r="C31" i="29"/>
  <c r="D31" i="29"/>
  <c r="C32" i="29"/>
  <c r="C38" i="29" s="1"/>
  <c r="C33" i="29"/>
  <c r="C61" i="29" s="1"/>
  <c r="D33" i="29"/>
  <c r="C34" i="29"/>
  <c r="D34" i="29"/>
  <c r="C35" i="29"/>
  <c r="D35" i="29"/>
  <c r="F35" i="29"/>
  <c r="F63" i="29" s="1"/>
  <c r="F90" i="29" s="1"/>
  <c r="C36" i="29"/>
  <c r="C37" i="29"/>
  <c r="D37" i="29"/>
  <c r="F37" i="29"/>
  <c r="N37" i="29"/>
  <c r="C55" i="29"/>
  <c r="D55" i="29"/>
  <c r="D82" i="29" s="1"/>
  <c r="C56" i="29"/>
  <c r="C57" i="29"/>
  <c r="C58" i="29"/>
  <c r="C59" i="29"/>
  <c r="D59" i="29"/>
  <c r="C60" i="29"/>
  <c r="D61" i="29"/>
  <c r="C62" i="29"/>
  <c r="D62" i="29"/>
  <c r="C63" i="29"/>
  <c r="D63" i="29"/>
  <c r="C64" i="29"/>
  <c r="P69" i="29"/>
  <c r="R69" i="29"/>
  <c r="S69" i="29"/>
  <c r="P70" i="29"/>
  <c r="R70" i="29"/>
  <c r="S70" i="29"/>
  <c r="P71" i="29"/>
  <c r="R71" i="29"/>
  <c r="P72" i="29"/>
  <c r="R72" i="29"/>
  <c r="S72" i="29"/>
  <c r="P73" i="29"/>
  <c r="R73" i="29"/>
  <c r="S73" i="29"/>
  <c r="P74" i="29"/>
  <c r="R74" i="29"/>
  <c r="S74" i="29"/>
  <c r="P75" i="29"/>
  <c r="R75" i="29"/>
  <c r="P76" i="29"/>
  <c r="R76" i="29"/>
  <c r="S76" i="29"/>
  <c r="P77" i="29"/>
  <c r="R77" i="29"/>
  <c r="S77" i="29"/>
  <c r="P78" i="29"/>
  <c r="R78" i="29"/>
  <c r="S78" i="29"/>
  <c r="O79" i="29"/>
  <c r="P79" i="29"/>
  <c r="R79" i="29"/>
  <c r="S79" i="29"/>
  <c r="T79" i="29"/>
  <c r="S80" i="29"/>
  <c r="C82" i="29"/>
  <c r="N82" i="29"/>
  <c r="C83" i="29"/>
  <c r="T83" i="29"/>
  <c r="T84" i="29" s="1"/>
  <c r="C84" i="29"/>
  <c r="C85" i="29"/>
  <c r="C86" i="29"/>
  <c r="D86" i="29"/>
  <c r="C87" i="29"/>
  <c r="D88" i="29"/>
  <c r="C89" i="29"/>
  <c r="D89" i="29"/>
  <c r="C90" i="29"/>
  <c r="D90" i="29"/>
  <c r="C91" i="29"/>
  <c r="A7" i="27"/>
  <c r="C7" i="27" s="1"/>
  <c r="A2" i="26"/>
  <c r="A2" i="27" s="1"/>
  <c r="O5" i="25"/>
  <c r="O6" i="25"/>
  <c r="O7" i="25"/>
  <c r="A8" i="25"/>
  <c r="J8" i="25"/>
  <c r="J9" i="25"/>
  <c r="J10" i="25"/>
  <c r="B12" i="25"/>
  <c r="I11" i="11" s="1"/>
  <c r="J14" i="25"/>
  <c r="J15" i="25"/>
  <c r="J16" i="25"/>
  <c r="J17" i="25"/>
  <c r="J18" i="25"/>
  <c r="J19" i="25"/>
  <c r="J20" i="25"/>
  <c r="J21" i="25"/>
  <c r="J22" i="25"/>
  <c r="O27" i="25" s="1"/>
  <c r="B24" i="25"/>
  <c r="F44" i="25" s="1"/>
  <c r="F45" i="25" s="1"/>
  <c r="F47" i="25" s="1"/>
  <c r="G47" i="25" s="1"/>
  <c r="B29" i="25"/>
  <c r="K24" i="11" s="1"/>
  <c r="F40" i="25"/>
  <c r="F41" i="25"/>
  <c r="B53" i="25"/>
  <c r="B55" i="25"/>
  <c r="F59" i="25"/>
  <c r="B61" i="25"/>
  <c r="N62" i="25"/>
  <c r="G64" i="25"/>
  <c r="I71" i="25"/>
  <c r="G73" i="25"/>
  <c r="G19" i="29" l="1"/>
  <c r="F33" i="29"/>
  <c r="F61" i="29" s="1"/>
  <c r="G15" i="29"/>
  <c r="F29" i="29"/>
  <c r="F57" i="29" s="1"/>
  <c r="C88" i="29"/>
  <c r="C65" i="29"/>
  <c r="G20" i="29"/>
  <c r="F34" i="29"/>
  <c r="F62" i="29" s="1"/>
  <c r="F89" i="29" s="1"/>
  <c r="J7" i="27"/>
  <c r="E16" i="29"/>
  <c r="F16" i="29" s="1"/>
  <c r="F41" i="30"/>
  <c r="F42" i="30" s="1"/>
  <c r="F44" i="30" s="1"/>
  <c r="G44" i="30" s="1"/>
  <c r="D32" i="34"/>
  <c r="D60" i="34" s="1"/>
  <c r="D87" i="34" s="1"/>
  <c r="F94" i="39"/>
  <c r="P20" i="41"/>
  <c r="O5" i="41" s="1"/>
  <c r="E16" i="11"/>
  <c r="M94" i="39"/>
  <c r="E94" i="44"/>
  <c r="C10" i="42"/>
  <c r="G10" i="42"/>
  <c r="K10" i="42"/>
  <c r="E10" i="42"/>
  <c r="I10" i="42"/>
  <c r="A11" i="42"/>
  <c r="F10" i="42"/>
  <c r="J10" i="42"/>
  <c r="L10" i="42"/>
  <c r="D10" i="42"/>
  <c r="H10" i="42"/>
  <c r="I12" i="11"/>
  <c r="N9" i="42"/>
  <c r="J26" i="25"/>
  <c r="G56" i="25" s="1"/>
  <c r="D34" i="34"/>
  <c r="D62" i="34" s="1"/>
  <c r="D89" i="34" s="1"/>
  <c r="F14" i="34"/>
  <c r="I94" i="39"/>
  <c r="E24" i="11"/>
  <c r="F25" i="11" s="1"/>
  <c r="J25" i="30"/>
  <c r="G53" i="30" s="1"/>
  <c r="D29" i="34"/>
  <c r="D57" i="34" s="1"/>
  <c r="D84" i="34" s="1"/>
  <c r="I39" i="11"/>
  <c r="U79" i="29"/>
  <c r="C94" i="44"/>
  <c r="O93" i="44"/>
  <c r="P93" i="44" s="1"/>
  <c r="O92" i="39"/>
  <c r="C93" i="39"/>
  <c r="N8" i="37"/>
  <c r="G37" i="40"/>
  <c r="G50" i="40" s="1"/>
  <c r="F26" i="40"/>
  <c r="D29" i="40"/>
  <c r="F29" i="40" s="1"/>
  <c r="G62" i="40" s="1"/>
  <c r="K42" i="40"/>
  <c r="F8" i="38"/>
  <c r="F8" i="36" s="1"/>
  <c r="J8" i="38"/>
  <c r="J8" i="36" s="1"/>
  <c r="C8" i="38"/>
  <c r="C8" i="36" s="1"/>
  <c r="G8" i="38"/>
  <c r="G8" i="36" s="1"/>
  <c r="K8" i="38"/>
  <c r="K8" i="36" s="1"/>
  <c r="H8" i="38"/>
  <c r="H8" i="36" s="1"/>
  <c r="I8" i="38"/>
  <c r="I8" i="36" s="1"/>
  <c r="D8" i="38"/>
  <c r="D8" i="36" s="1"/>
  <c r="L8" i="38"/>
  <c r="E8" i="38"/>
  <c r="E8" i="36" s="1"/>
  <c r="A8" i="36"/>
  <c r="H7" i="36"/>
  <c r="A13" i="35"/>
  <c r="K10" i="35"/>
  <c r="C37" i="35"/>
  <c r="M7" i="36"/>
  <c r="O7" i="36" s="1"/>
  <c r="L8" i="36"/>
  <c r="C9" i="37"/>
  <c r="G9" i="37"/>
  <c r="K9" i="37"/>
  <c r="D9" i="37"/>
  <c r="H9" i="37"/>
  <c r="L9" i="37"/>
  <c r="F9" i="37"/>
  <c r="J9" i="37"/>
  <c r="A9" i="38"/>
  <c r="E9" i="37"/>
  <c r="I9" i="37"/>
  <c r="A10" i="37"/>
  <c r="K8" i="30"/>
  <c r="A9" i="30"/>
  <c r="L8" i="32"/>
  <c r="E8" i="32"/>
  <c r="A8" i="33"/>
  <c r="I8" i="33" s="1"/>
  <c r="C8" i="32"/>
  <c r="A9" i="32"/>
  <c r="D8" i="32"/>
  <c r="J8" i="32"/>
  <c r="F8" i="32"/>
  <c r="K8" i="32"/>
  <c r="G22" i="34"/>
  <c r="H22" i="34" s="1"/>
  <c r="F36" i="34"/>
  <c r="F64" i="34" s="1"/>
  <c r="F91" i="34" s="1"/>
  <c r="E34" i="34"/>
  <c r="E62" i="34" s="1"/>
  <c r="E89" i="34" s="1"/>
  <c r="F20" i="34"/>
  <c r="G14" i="34"/>
  <c r="H14" i="34" s="1"/>
  <c r="F28" i="34"/>
  <c r="F56" i="34" s="1"/>
  <c r="F83" i="34" s="1"/>
  <c r="E13" i="34"/>
  <c r="D27" i="34"/>
  <c r="G28" i="34"/>
  <c r="G56" i="34" s="1"/>
  <c r="G83" i="34" s="1"/>
  <c r="G36" i="34"/>
  <c r="G64" i="34" s="1"/>
  <c r="G91" i="34" s="1"/>
  <c r="C27" i="34"/>
  <c r="C28" i="34"/>
  <c r="C56" i="34" s="1"/>
  <c r="C83" i="34" s="1"/>
  <c r="C29" i="34"/>
  <c r="C57" i="34" s="1"/>
  <c r="C84" i="34" s="1"/>
  <c r="C30" i="34"/>
  <c r="C58" i="34" s="1"/>
  <c r="C31" i="34"/>
  <c r="C59" i="34" s="1"/>
  <c r="C32" i="34"/>
  <c r="C60" i="34" s="1"/>
  <c r="C87" i="34" s="1"/>
  <c r="C33" i="34"/>
  <c r="C61" i="34" s="1"/>
  <c r="C88" i="34" s="1"/>
  <c r="C34" i="34"/>
  <c r="C62" i="34" s="1"/>
  <c r="C89" i="34" s="1"/>
  <c r="C35" i="34"/>
  <c r="C63" i="34" s="1"/>
  <c r="C36" i="34"/>
  <c r="C64" i="34" s="1"/>
  <c r="C91" i="34" s="1"/>
  <c r="C37" i="34"/>
  <c r="F7" i="33"/>
  <c r="G7" i="33"/>
  <c r="J7" i="33"/>
  <c r="F21" i="34"/>
  <c r="E35" i="34"/>
  <c r="E63" i="34" s="1"/>
  <c r="E90" i="34" s="1"/>
  <c r="E37" i="34"/>
  <c r="F23" i="34"/>
  <c r="E29" i="34"/>
  <c r="E57" i="34" s="1"/>
  <c r="E84" i="34" s="1"/>
  <c r="F15" i="34"/>
  <c r="F18" i="34"/>
  <c r="F17" i="34"/>
  <c r="E31" i="34"/>
  <c r="E59" i="34" s="1"/>
  <c r="E86" i="34" s="1"/>
  <c r="E30" i="34"/>
  <c r="E58" i="34" s="1"/>
  <c r="E85" i="34" s="1"/>
  <c r="F16" i="34"/>
  <c r="E33" i="34"/>
  <c r="E61" i="34" s="1"/>
  <c r="E88" i="34" s="1"/>
  <c r="F19" i="34"/>
  <c r="I7" i="33"/>
  <c r="E7" i="33"/>
  <c r="L7" i="33"/>
  <c r="H7" i="33"/>
  <c r="D7" i="33"/>
  <c r="A7" i="31"/>
  <c r="I8" i="32"/>
  <c r="A8" i="27"/>
  <c r="I8" i="27" s="1"/>
  <c r="I7" i="27"/>
  <c r="E7" i="27"/>
  <c r="T69" i="29"/>
  <c r="U69" i="29" s="1"/>
  <c r="T80" i="29"/>
  <c r="G34" i="29"/>
  <c r="G62" i="29" s="1"/>
  <c r="G89" i="29" s="1"/>
  <c r="H20" i="29"/>
  <c r="G29" i="29"/>
  <c r="G57" i="29" s="1"/>
  <c r="H15" i="29"/>
  <c r="F7" i="27"/>
  <c r="L7" i="27"/>
  <c r="D7" i="27"/>
  <c r="A7" i="28"/>
  <c r="C7" i="28" s="1"/>
  <c r="H21" i="29"/>
  <c r="G35" i="29"/>
  <c r="G63" i="29" s="1"/>
  <c r="G90" i="29" s="1"/>
  <c r="E14" i="29"/>
  <c r="F14" i="29" s="1"/>
  <c r="D28" i="29"/>
  <c r="H7" i="27"/>
  <c r="K7" i="27"/>
  <c r="G7" i="27"/>
  <c r="G17" i="29"/>
  <c r="F27" i="29"/>
  <c r="G33" i="29"/>
  <c r="G61" i="29" s="1"/>
  <c r="H19" i="29"/>
  <c r="E18" i="29"/>
  <c r="F18" i="29" s="1"/>
  <c r="D32" i="29"/>
  <c r="D60" i="29" s="1"/>
  <c r="D87" i="29" s="1"/>
  <c r="G37" i="29"/>
  <c r="H23" i="29"/>
  <c r="E22" i="29"/>
  <c r="F22" i="29" s="1"/>
  <c r="D36" i="29"/>
  <c r="D64" i="29" s="1"/>
  <c r="D91" i="29" s="1"/>
  <c r="G27" i="29"/>
  <c r="H13" i="29"/>
  <c r="E27" i="29"/>
  <c r="E29" i="29"/>
  <c r="E57" i="29" s="1"/>
  <c r="E30" i="29"/>
  <c r="E58" i="29" s="1"/>
  <c r="E85" i="29" s="1"/>
  <c r="E31" i="29"/>
  <c r="E59" i="29" s="1"/>
  <c r="E86" i="29" s="1"/>
  <c r="E33" i="29"/>
  <c r="E61" i="29" s="1"/>
  <c r="E34" i="29"/>
  <c r="E62" i="29" s="1"/>
  <c r="E89" i="29" s="1"/>
  <c r="E35" i="29"/>
  <c r="E63" i="29" s="1"/>
  <c r="E90" i="29" s="1"/>
  <c r="E37" i="29"/>
  <c r="G7" i="28"/>
  <c r="N7" i="27"/>
  <c r="E8" i="27"/>
  <c r="L8" i="27"/>
  <c r="B26" i="25"/>
  <c r="L55" i="11"/>
  <c r="G50" i="11"/>
  <c r="G39" i="11"/>
  <c r="I40" i="11"/>
  <c r="K46" i="11" s="1"/>
  <c r="I56" i="11" s="1"/>
  <c r="G38" i="11"/>
  <c r="G37" i="11"/>
  <c r="L28" i="11"/>
  <c r="I13" i="11"/>
  <c r="I29" i="11" s="1"/>
  <c r="C93" i="29" l="1"/>
  <c r="E36" i="29"/>
  <c r="E64" i="29" s="1"/>
  <c r="E91" i="29" s="1"/>
  <c r="E32" i="29"/>
  <c r="E60" i="29" s="1"/>
  <c r="E87" i="29" s="1"/>
  <c r="E28" i="29"/>
  <c r="E56" i="29" s="1"/>
  <c r="E83" i="29" s="1"/>
  <c r="D7" i="32"/>
  <c r="N10" i="42"/>
  <c r="G16" i="29"/>
  <c r="F30" i="29"/>
  <c r="F58" i="29" s="1"/>
  <c r="F85" i="29" s="1"/>
  <c r="C52" i="29"/>
  <c r="C92" i="29"/>
  <c r="C66" i="29"/>
  <c r="D11" i="42"/>
  <c r="H11" i="42"/>
  <c r="L11" i="42"/>
  <c r="F11" i="42"/>
  <c r="J11" i="42"/>
  <c r="C11" i="42"/>
  <c r="G11" i="42"/>
  <c r="K11" i="42"/>
  <c r="E11" i="42"/>
  <c r="I11" i="42"/>
  <c r="A12" i="42"/>
  <c r="E7" i="28"/>
  <c r="K7" i="28"/>
  <c r="A8" i="31"/>
  <c r="I7" i="28"/>
  <c r="I7" i="26" s="1"/>
  <c r="A7" i="26"/>
  <c r="M8" i="36"/>
  <c r="O8" i="36" s="1"/>
  <c r="D8" i="35"/>
  <c r="F50" i="40"/>
  <c r="F57" i="40" s="1"/>
  <c r="G57" i="40"/>
  <c r="G59" i="40" s="1"/>
  <c r="I59" i="40" s="1"/>
  <c r="C9" i="38"/>
  <c r="G9" i="38"/>
  <c r="G9" i="36" s="1"/>
  <c r="K9" i="38"/>
  <c r="K9" i="36" s="1"/>
  <c r="D9" i="38"/>
  <c r="H9" i="38"/>
  <c r="H9" i="36" s="1"/>
  <c r="L9" i="38"/>
  <c r="L9" i="36" s="1"/>
  <c r="F9" i="38"/>
  <c r="F9" i="36" s="1"/>
  <c r="I9" i="38"/>
  <c r="I9" i="36" s="1"/>
  <c r="A9" i="36"/>
  <c r="E9" i="38"/>
  <c r="E9" i="36" s="1"/>
  <c r="J9" i="38"/>
  <c r="J9" i="36" s="1"/>
  <c r="N9" i="37"/>
  <c r="C9" i="36"/>
  <c r="O93" i="39"/>
  <c r="P93" i="39" s="1"/>
  <c r="C94" i="39"/>
  <c r="C10" i="37"/>
  <c r="G10" i="37"/>
  <c r="K10" i="37"/>
  <c r="D10" i="37"/>
  <c r="H10" i="37"/>
  <c r="L10" i="37"/>
  <c r="F10" i="37"/>
  <c r="J10" i="37"/>
  <c r="A11" i="37"/>
  <c r="E10" i="37"/>
  <c r="I10" i="37"/>
  <c r="A10" i="38"/>
  <c r="D9" i="36"/>
  <c r="A14" i="35"/>
  <c r="K13" i="35"/>
  <c r="O39" i="40"/>
  <c r="O40" i="40" s="1"/>
  <c r="I62" i="40"/>
  <c r="O9" i="35"/>
  <c r="O8" i="35"/>
  <c r="F30" i="34"/>
  <c r="F58" i="34" s="1"/>
  <c r="F85" i="34" s="1"/>
  <c r="G16" i="34"/>
  <c r="K7" i="32"/>
  <c r="I9" i="32"/>
  <c r="F29" i="34"/>
  <c r="F57" i="34" s="1"/>
  <c r="F84" i="34" s="1"/>
  <c r="G15" i="34"/>
  <c r="C90" i="34"/>
  <c r="E7" i="32"/>
  <c r="C86" i="34"/>
  <c r="J7" i="32"/>
  <c r="J7" i="31" s="1"/>
  <c r="I7" i="32"/>
  <c r="I7" i="31" s="1"/>
  <c r="C38" i="34"/>
  <c r="C55" i="34"/>
  <c r="E27" i="34"/>
  <c r="F13" i="34"/>
  <c r="C8" i="31"/>
  <c r="A10" i="30"/>
  <c r="K9" i="30"/>
  <c r="G18" i="34"/>
  <c r="F32" i="34"/>
  <c r="F60" i="34" s="1"/>
  <c r="F87" i="34" s="1"/>
  <c r="D55" i="34"/>
  <c r="D38" i="34"/>
  <c r="D7" i="31"/>
  <c r="F33" i="34"/>
  <c r="F61" i="34" s="1"/>
  <c r="F88" i="34" s="1"/>
  <c r="G19" i="34"/>
  <c r="G21" i="34"/>
  <c r="F35" i="34"/>
  <c r="F63" i="34" s="1"/>
  <c r="F90" i="34" s="1"/>
  <c r="C85" i="34"/>
  <c r="F7" i="32"/>
  <c r="F7" i="31" s="1"/>
  <c r="C7" i="32"/>
  <c r="I14" i="34"/>
  <c r="H28" i="34"/>
  <c r="H56" i="34" s="1"/>
  <c r="H83" i="34" s="1"/>
  <c r="I22" i="34"/>
  <c r="H36" i="34"/>
  <c r="H64" i="34" s="1"/>
  <c r="H91" i="34" s="1"/>
  <c r="L7" i="32"/>
  <c r="E8" i="33"/>
  <c r="E8" i="31" s="1"/>
  <c r="G8" i="33"/>
  <c r="L8" i="33"/>
  <c r="L8" i="31" s="1"/>
  <c r="C8" i="33"/>
  <c r="H8" i="33"/>
  <c r="D8" i="33"/>
  <c r="D8" i="31" s="1"/>
  <c r="F8" i="33"/>
  <c r="F8" i="31" s="1"/>
  <c r="J8" i="33"/>
  <c r="J8" i="31" s="1"/>
  <c r="K8" i="33"/>
  <c r="K8" i="31" s="1"/>
  <c r="G17" i="34"/>
  <c r="F31" i="34"/>
  <c r="F59" i="34" s="1"/>
  <c r="F86" i="34" s="1"/>
  <c r="F37" i="34"/>
  <c r="G23" i="34"/>
  <c r="F34" i="34"/>
  <c r="F62" i="34" s="1"/>
  <c r="F89" i="34" s="1"/>
  <c r="G20" i="34"/>
  <c r="E9" i="32"/>
  <c r="A9" i="33"/>
  <c r="L9" i="32"/>
  <c r="C9" i="32"/>
  <c r="A10" i="32"/>
  <c r="D9" i="32"/>
  <c r="J9" i="32"/>
  <c r="K9" i="32"/>
  <c r="F9" i="32"/>
  <c r="I8" i="31"/>
  <c r="H34" i="29"/>
  <c r="H62" i="29" s="1"/>
  <c r="H89" i="29" s="1"/>
  <c r="I20" i="29"/>
  <c r="E38" i="29"/>
  <c r="E55" i="29"/>
  <c r="G55" i="29"/>
  <c r="D7" i="28"/>
  <c r="D7" i="26" s="1"/>
  <c r="L7" i="28"/>
  <c r="F7" i="28"/>
  <c r="F7" i="26" s="1"/>
  <c r="J7" i="28"/>
  <c r="J7" i="26" s="1"/>
  <c r="H7" i="28"/>
  <c r="H7" i="26" s="1"/>
  <c r="H37" i="29"/>
  <c r="I23" i="29"/>
  <c r="F55" i="29"/>
  <c r="D8" i="27"/>
  <c r="A8" i="28"/>
  <c r="A8" i="26" s="1"/>
  <c r="A9" i="25" s="1"/>
  <c r="F8" i="27"/>
  <c r="A9" i="27"/>
  <c r="G8" i="27"/>
  <c r="C8" i="27"/>
  <c r="J8" i="27"/>
  <c r="H27" i="29"/>
  <c r="I13" i="29"/>
  <c r="H33" i="29"/>
  <c r="H61" i="29" s="1"/>
  <c r="H88" i="29" s="1"/>
  <c r="I19" i="29"/>
  <c r="G14" i="29"/>
  <c r="F28" i="29"/>
  <c r="F56" i="29" s="1"/>
  <c r="F83" i="29" s="1"/>
  <c r="H29" i="29"/>
  <c r="H57" i="29" s="1"/>
  <c r="H84" i="29" s="1"/>
  <c r="I15" i="29"/>
  <c r="G22" i="29"/>
  <c r="F36" i="29"/>
  <c r="F64" i="29" s="1"/>
  <c r="F91" i="29" s="1"/>
  <c r="G18" i="29"/>
  <c r="F32" i="29"/>
  <c r="F60" i="29" s="1"/>
  <c r="F87" i="29" s="1"/>
  <c r="H17" i="29"/>
  <c r="G31" i="29"/>
  <c r="G59" i="29" s="1"/>
  <c r="G86" i="29" s="1"/>
  <c r="D38" i="29"/>
  <c r="D56" i="29"/>
  <c r="I21" i="29"/>
  <c r="H35" i="29"/>
  <c r="H63" i="29" s="1"/>
  <c r="H90" i="29" s="1"/>
  <c r="U80" i="29"/>
  <c r="T82" i="29"/>
  <c r="T85" i="29" s="1"/>
  <c r="E7" i="26"/>
  <c r="G7" i="26"/>
  <c r="L7" i="26"/>
  <c r="K7" i="26"/>
  <c r="C7" i="26"/>
  <c r="K19" i="11"/>
  <c r="D6" i="24"/>
  <c r="E6" i="24"/>
  <c r="F6" i="24" s="1"/>
  <c r="G6" i="24" s="1"/>
  <c r="H6" i="24" s="1"/>
  <c r="I6" i="24" s="1"/>
  <c r="J6" i="24" s="1"/>
  <c r="K6" i="24" s="1"/>
  <c r="L6" i="24" s="1"/>
  <c r="M6" i="24" s="1"/>
  <c r="N6" i="24" s="1"/>
  <c r="C9" i="24"/>
  <c r="D9" i="24"/>
  <c r="E9" i="24"/>
  <c r="F9" i="24"/>
  <c r="G9" i="24"/>
  <c r="H9" i="24"/>
  <c r="I9" i="24"/>
  <c r="J9" i="24"/>
  <c r="K9" i="24"/>
  <c r="L9" i="24"/>
  <c r="M9" i="24"/>
  <c r="N9" i="24"/>
  <c r="C10" i="24"/>
  <c r="D10" i="24"/>
  <c r="D27" i="24" s="1"/>
  <c r="D55" i="24" s="1"/>
  <c r="D82" i="24" s="1"/>
  <c r="E10" i="24"/>
  <c r="F10" i="24"/>
  <c r="F28" i="24" s="1"/>
  <c r="F56" i="24" s="1"/>
  <c r="F83" i="24" s="1"/>
  <c r="G10" i="24"/>
  <c r="H10" i="24"/>
  <c r="I10" i="24"/>
  <c r="J10" i="24"/>
  <c r="K10" i="24"/>
  <c r="L10" i="24"/>
  <c r="M10" i="24"/>
  <c r="N10" i="24"/>
  <c r="D13" i="24"/>
  <c r="E13" i="24" s="1"/>
  <c r="F13" i="24" s="1"/>
  <c r="D14" i="24"/>
  <c r="E14" i="24"/>
  <c r="F14" i="24" s="1"/>
  <c r="G14" i="24" s="1"/>
  <c r="H14" i="24" s="1"/>
  <c r="H28" i="24" s="1"/>
  <c r="H56" i="24" s="1"/>
  <c r="H83" i="24" s="1"/>
  <c r="D15" i="24"/>
  <c r="E15" i="24" s="1"/>
  <c r="F15" i="24" s="1"/>
  <c r="D16" i="24"/>
  <c r="E16" i="24"/>
  <c r="F16" i="24" s="1"/>
  <c r="G16" i="24" s="1"/>
  <c r="H16" i="24" s="1"/>
  <c r="D17" i="24"/>
  <c r="E17" i="24" s="1"/>
  <c r="F17" i="24" s="1"/>
  <c r="G17" i="24" s="1"/>
  <c r="H17" i="24" s="1"/>
  <c r="D18" i="24"/>
  <c r="E18" i="24"/>
  <c r="F18" i="24" s="1"/>
  <c r="G18" i="24" s="1"/>
  <c r="H18" i="24" s="1"/>
  <c r="D19" i="24"/>
  <c r="E19" i="24" s="1"/>
  <c r="F19" i="24" s="1"/>
  <c r="G19" i="24" s="1"/>
  <c r="H19" i="24" s="1"/>
  <c r="D20" i="24"/>
  <c r="E20" i="24"/>
  <c r="F20" i="24" s="1"/>
  <c r="G20" i="24" s="1"/>
  <c r="H20" i="24" s="1"/>
  <c r="D21" i="24"/>
  <c r="E21" i="24" s="1"/>
  <c r="F21" i="24" s="1"/>
  <c r="D22" i="24"/>
  <c r="E22" i="24"/>
  <c r="F22" i="24" s="1"/>
  <c r="G22" i="24" s="1"/>
  <c r="H22" i="24" s="1"/>
  <c r="D23" i="24"/>
  <c r="E23" i="24" s="1"/>
  <c r="F23" i="24" s="1"/>
  <c r="D28" i="24"/>
  <c r="D56" i="24" s="1"/>
  <c r="D30" i="24"/>
  <c r="D58" i="24" s="1"/>
  <c r="D32" i="24"/>
  <c r="D60" i="24" s="1"/>
  <c r="D87" i="24" s="1"/>
  <c r="D33" i="24"/>
  <c r="D61" i="24" s="1"/>
  <c r="D88" i="24" s="1"/>
  <c r="D35" i="24"/>
  <c r="D63" i="24" s="1"/>
  <c r="D90" i="24" s="1"/>
  <c r="D36" i="24"/>
  <c r="D64" i="24"/>
  <c r="O79" i="24"/>
  <c r="D83" i="24"/>
  <c r="D85" i="24"/>
  <c r="D91" i="24"/>
  <c r="A2" i="23"/>
  <c r="A2" i="22"/>
  <c r="A7" i="22"/>
  <c r="A7" i="23" s="1"/>
  <c r="A2" i="21"/>
  <c r="Q20" i="21"/>
  <c r="O5" i="20"/>
  <c r="O6" i="20"/>
  <c r="O7" i="20"/>
  <c r="A8" i="20"/>
  <c r="A9" i="20" s="1"/>
  <c r="A10" i="20" s="1"/>
  <c r="J8" i="20"/>
  <c r="J25" i="20" s="1"/>
  <c r="G49" i="20" s="1"/>
  <c r="J9" i="20"/>
  <c r="J10" i="20"/>
  <c r="B11" i="20"/>
  <c r="J13" i="20"/>
  <c r="J14" i="20"/>
  <c r="J15" i="20"/>
  <c r="J16" i="20"/>
  <c r="J17" i="20"/>
  <c r="J18" i="20"/>
  <c r="J19" i="20"/>
  <c r="J20" i="20"/>
  <c r="F21" i="20"/>
  <c r="J21" i="20"/>
  <c r="O27" i="20" s="1"/>
  <c r="B23" i="20"/>
  <c r="O39" i="11" s="1"/>
  <c r="F33" i="20"/>
  <c r="F34" i="20" s="1"/>
  <c r="O54" i="20"/>
  <c r="B2" i="19"/>
  <c r="B3" i="19"/>
  <c r="D6" i="19"/>
  <c r="E6" i="19"/>
  <c r="F6" i="19" s="1"/>
  <c r="G6" i="19" s="1"/>
  <c r="H6" i="19" s="1"/>
  <c r="I6" i="19" s="1"/>
  <c r="J6" i="19" s="1"/>
  <c r="K6" i="19" s="1"/>
  <c r="L6" i="19" s="1"/>
  <c r="M6" i="19" s="1"/>
  <c r="N6" i="19" s="1"/>
  <c r="T68" i="19" s="1"/>
  <c r="C9" i="19"/>
  <c r="D9" i="19"/>
  <c r="E9" i="19"/>
  <c r="F9" i="19"/>
  <c r="G9" i="19"/>
  <c r="H9" i="19"/>
  <c r="I9" i="19"/>
  <c r="J9" i="19"/>
  <c r="K9" i="19"/>
  <c r="L9" i="19"/>
  <c r="M9" i="19"/>
  <c r="N9" i="19"/>
  <c r="C10" i="19"/>
  <c r="D10" i="19"/>
  <c r="D30" i="19" s="1"/>
  <c r="D58" i="19" s="1"/>
  <c r="D85" i="19" s="1"/>
  <c r="E10" i="19"/>
  <c r="F10" i="19"/>
  <c r="G10" i="19"/>
  <c r="H10" i="19"/>
  <c r="I10" i="19"/>
  <c r="J10" i="19"/>
  <c r="K10" i="19"/>
  <c r="L10" i="19"/>
  <c r="M10" i="19"/>
  <c r="N10" i="19"/>
  <c r="D13" i="19"/>
  <c r="E13" i="19" s="1"/>
  <c r="F13" i="19"/>
  <c r="G13" i="19" s="1"/>
  <c r="H13" i="19" s="1"/>
  <c r="D14" i="19"/>
  <c r="E14" i="19"/>
  <c r="F14" i="19" s="1"/>
  <c r="G14" i="19" s="1"/>
  <c r="H14" i="19" s="1"/>
  <c r="H28" i="19" s="1"/>
  <c r="H56" i="19" s="1"/>
  <c r="H83" i="19" s="1"/>
  <c r="D15" i="19"/>
  <c r="E15" i="19" s="1"/>
  <c r="F15" i="19"/>
  <c r="G15" i="19" s="1"/>
  <c r="H15" i="19" s="1"/>
  <c r="D16" i="19"/>
  <c r="E16" i="19"/>
  <c r="F16" i="19" s="1"/>
  <c r="G16" i="19" s="1"/>
  <c r="H16" i="19" s="1"/>
  <c r="H30" i="19" s="1"/>
  <c r="H58" i="19" s="1"/>
  <c r="H85" i="19" s="1"/>
  <c r="D17" i="19"/>
  <c r="E17" i="19" s="1"/>
  <c r="F17" i="19"/>
  <c r="G17" i="19" s="1"/>
  <c r="H17" i="19" s="1"/>
  <c r="D18" i="19"/>
  <c r="E18" i="19"/>
  <c r="F18" i="19" s="1"/>
  <c r="G18" i="19" s="1"/>
  <c r="H18" i="19" s="1"/>
  <c r="H32" i="19" s="1"/>
  <c r="H60" i="19" s="1"/>
  <c r="H87" i="19" s="1"/>
  <c r="D19" i="19"/>
  <c r="E19" i="19" s="1"/>
  <c r="F19" i="19"/>
  <c r="G19" i="19" s="1"/>
  <c r="H19" i="19" s="1"/>
  <c r="D20" i="19"/>
  <c r="E20" i="19"/>
  <c r="F20" i="19" s="1"/>
  <c r="G20" i="19" s="1"/>
  <c r="H20" i="19" s="1"/>
  <c r="H34" i="19" s="1"/>
  <c r="H62" i="19" s="1"/>
  <c r="H89" i="19" s="1"/>
  <c r="D21" i="19"/>
  <c r="E21" i="19" s="1"/>
  <c r="F21" i="19"/>
  <c r="G21" i="19" s="1"/>
  <c r="H21" i="19" s="1"/>
  <c r="D22" i="19"/>
  <c r="E22" i="19"/>
  <c r="F22" i="19" s="1"/>
  <c r="G22" i="19" s="1"/>
  <c r="H22" i="19" s="1"/>
  <c r="H36" i="19" s="1"/>
  <c r="H64" i="19" s="1"/>
  <c r="H91" i="19" s="1"/>
  <c r="D23" i="19"/>
  <c r="E23" i="19" s="1"/>
  <c r="F23" i="19"/>
  <c r="G23" i="19" s="1"/>
  <c r="H23" i="19" s="1"/>
  <c r="F33" i="19"/>
  <c r="F61" i="19" s="1"/>
  <c r="P69" i="19"/>
  <c r="R69" i="19"/>
  <c r="S69" i="19"/>
  <c r="P70" i="19"/>
  <c r="R70" i="19"/>
  <c r="S70" i="19"/>
  <c r="P71" i="19"/>
  <c r="R71" i="19"/>
  <c r="P72" i="19"/>
  <c r="R72" i="19"/>
  <c r="S72" i="19"/>
  <c r="P73" i="19"/>
  <c r="R73" i="19"/>
  <c r="S73" i="19"/>
  <c r="P74" i="19"/>
  <c r="R74" i="19"/>
  <c r="S74" i="19"/>
  <c r="P75" i="19"/>
  <c r="R75" i="19"/>
  <c r="P76" i="19"/>
  <c r="R76" i="19"/>
  <c r="S76" i="19"/>
  <c r="P77" i="19"/>
  <c r="R77" i="19"/>
  <c r="S77" i="19"/>
  <c r="P78" i="19"/>
  <c r="R78" i="19"/>
  <c r="S78" i="19"/>
  <c r="O79" i="19"/>
  <c r="P79" i="19"/>
  <c r="R79" i="19"/>
  <c r="S79" i="19"/>
  <c r="S80" i="19"/>
  <c r="T83" i="19"/>
  <c r="T84" i="19" s="1"/>
  <c r="A2" i="17"/>
  <c r="A7" i="17"/>
  <c r="A7" i="18" s="1"/>
  <c r="A2" i="16"/>
  <c r="Q20" i="16"/>
  <c r="O5" i="15"/>
  <c r="O6" i="15"/>
  <c r="O7" i="15"/>
  <c r="A8" i="15"/>
  <c r="J8" i="15"/>
  <c r="J9" i="15"/>
  <c r="J10" i="15"/>
  <c r="B12" i="15"/>
  <c r="O11" i="11" s="1"/>
  <c r="J14" i="15"/>
  <c r="J15" i="15"/>
  <c r="J16" i="15"/>
  <c r="J17" i="15"/>
  <c r="J18" i="15"/>
  <c r="J19" i="15"/>
  <c r="J20" i="15"/>
  <c r="J21" i="15"/>
  <c r="J22" i="15"/>
  <c r="O27" i="15" s="1"/>
  <c r="B24" i="15"/>
  <c r="O12" i="11" s="1"/>
  <c r="J26" i="15"/>
  <c r="G50" i="15" s="1"/>
  <c r="F34" i="15"/>
  <c r="F35" i="15" s="1"/>
  <c r="B47" i="15"/>
  <c r="B49" i="15"/>
  <c r="F53" i="15"/>
  <c r="B55" i="15"/>
  <c r="N56" i="15"/>
  <c r="G58" i="15"/>
  <c r="I65" i="15"/>
  <c r="R28" i="11" s="1"/>
  <c r="G67" i="15"/>
  <c r="M50" i="11"/>
  <c r="M39" i="11"/>
  <c r="M38" i="11"/>
  <c r="M37" i="11"/>
  <c r="G23" i="24" l="1"/>
  <c r="H23" i="24" s="1"/>
  <c r="F37" i="24"/>
  <c r="G21" i="24"/>
  <c r="H21" i="24" s="1"/>
  <c r="F35" i="24"/>
  <c r="F63" i="24" s="1"/>
  <c r="F90" i="24" s="1"/>
  <c r="G13" i="24"/>
  <c r="H13" i="24" s="1"/>
  <c r="F27" i="24"/>
  <c r="G15" i="24"/>
  <c r="H15" i="24" s="1"/>
  <c r="F29" i="24"/>
  <c r="F57" i="24" s="1"/>
  <c r="F84" i="24" s="1"/>
  <c r="F30" i="19"/>
  <c r="F58" i="19" s="1"/>
  <c r="F85" i="19" s="1"/>
  <c r="F38" i="15"/>
  <c r="F39" i="15" s="1"/>
  <c r="F41" i="15" s="1"/>
  <c r="G41" i="15" s="1"/>
  <c r="B26" i="15"/>
  <c r="F29" i="19"/>
  <c r="F57" i="19" s="1"/>
  <c r="B25" i="20"/>
  <c r="D37" i="24"/>
  <c r="D34" i="24"/>
  <c r="D62" i="24" s="1"/>
  <c r="D89" i="24" s="1"/>
  <c r="F31" i="24"/>
  <c r="F59" i="24" s="1"/>
  <c r="F86" i="24" s="1"/>
  <c r="D29" i="24"/>
  <c r="D57" i="24" s="1"/>
  <c r="D84" i="24" s="1"/>
  <c r="F33" i="24"/>
  <c r="F61" i="24" s="1"/>
  <c r="F88" i="24" s="1"/>
  <c r="D31" i="24"/>
  <c r="D59" i="24" s="1"/>
  <c r="D86" i="24" s="1"/>
  <c r="O38" i="11"/>
  <c r="F37" i="19"/>
  <c r="A1" i="42"/>
  <c r="E12" i="42"/>
  <c r="I12" i="42"/>
  <c r="A13" i="42"/>
  <c r="C12" i="42"/>
  <c r="G12" i="42"/>
  <c r="K12" i="42"/>
  <c r="D12" i="42"/>
  <c r="H12" i="42"/>
  <c r="L12" i="42"/>
  <c r="F12" i="42"/>
  <c r="J12" i="42"/>
  <c r="N11" i="42"/>
  <c r="H16" i="29"/>
  <c r="G30" i="29"/>
  <c r="G58" i="29" s="1"/>
  <c r="G85" i="29" s="1"/>
  <c r="C94" i="29"/>
  <c r="O40" i="11"/>
  <c r="Q46" i="11" s="1"/>
  <c r="Q51" i="11" s="1"/>
  <c r="O56" i="11" s="1"/>
  <c r="D10" i="38"/>
  <c r="H10" i="38"/>
  <c r="L10" i="38"/>
  <c r="L10" i="36" s="1"/>
  <c r="E10" i="38"/>
  <c r="E10" i="36" s="1"/>
  <c r="I10" i="38"/>
  <c r="I10" i="36" s="1"/>
  <c r="C10" i="38"/>
  <c r="K10" i="38"/>
  <c r="K10" i="36" s="1"/>
  <c r="F10" i="38"/>
  <c r="J10" i="38"/>
  <c r="J10" i="36" s="1"/>
  <c r="G10" i="38"/>
  <c r="A10" i="36"/>
  <c r="D10" i="36"/>
  <c r="K14" i="35"/>
  <c r="A15" i="35"/>
  <c r="F10" i="36"/>
  <c r="G10" i="36"/>
  <c r="I64" i="40"/>
  <c r="I73" i="40" s="1"/>
  <c r="F8" i="35"/>
  <c r="A11" i="38"/>
  <c r="C11" i="37"/>
  <c r="G11" i="37"/>
  <c r="K11" i="37"/>
  <c r="D11" i="37"/>
  <c r="H11" i="37"/>
  <c r="L11" i="37"/>
  <c r="J11" i="37"/>
  <c r="E11" i="37"/>
  <c r="I11" i="37"/>
  <c r="F11" i="37"/>
  <c r="A12" i="37"/>
  <c r="H10" i="36"/>
  <c r="C10" i="36"/>
  <c r="N10" i="37"/>
  <c r="M9" i="36"/>
  <c r="O9" i="36" s="1"/>
  <c r="H16" i="34"/>
  <c r="G30" i="34"/>
  <c r="G58" i="34" s="1"/>
  <c r="G85" i="34" s="1"/>
  <c r="E10" i="32"/>
  <c r="F10" i="32"/>
  <c r="K10" i="32"/>
  <c r="L10" i="32"/>
  <c r="A10" i="33"/>
  <c r="C10" i="32"/>
  <c r="A11" i="32"/>
  <c r="D10" i="32"/>
  <c r="J10" i="32"/>
  <c r="I10" i="32"/>
  <c r="L7" i="31"/>
  <c r="I28" i="34"/>
  <c r="I56" i="34" s="1"/>
  <c r="I83" i="34" s="1"/>
  <c r="J14" i="34"/>
  <c r="D65" i="34"/>
  <c r="D82" i="34"/>
  <c r="G8" i="32"/>
  <c r="H18" i="34"/>
  <c r="G32" i="34"/>
  <c r="G60" i="34" s="1"/>
  <c r="G87" i="34" s="1"/>
  <c r="F27" i="34"/>
  <c r="G13" i="34"/>
  <c r="E9" i="33"/>
  <c r="E9" i="31" s="1"/>
  <c r="F9" i="33"/>
  <c r="F9" i="31" s="1"/>
  <c r="J9" i="33"/>
  <c r="J9" i="31" s="1"/>
  <c r="D9" i="33"/>
  <c r="D9" i="31" s="1"/>
  <c r="K9" i="33"/>
  <c r="K9" i="31" s="1"/>
  <c r="G9" i="33"/>
  <c r="L9" i="33"/>
  <c r="L9" i="31" s="1"/>
  <c r="H9" i="33"/>
  <c r="C9" i="33"/>
  <c r="I9" i="33"/>
  <c r="I9" i="31" s="1"/>
  <c r="A9" i="31"/>
  <c r="C7" i="31"/>
  <c r="E38" i="34"/>
  <c r="E55" i="34"/>
  <c r="H15" i="34"/>
  <c r="G29" i="34"/>
  <c r="G57" i="34" s="1"/>
  <c r="G84" i="34" s="1"/>
  <c r="K7" i="31"/>
  <c r="H20" i="34"/>
  <c r="G34" i="34"/>
  <c r="G62" i="34" s="1"/>
  <c r="G89" i="34" s="1"/>
  <c r="H23" i="34"/>
  <c r="G37" i="34"/>
  <c r="H19" i="34"/>
  <c r="G33" i="34"/>
  <c r="G61" i="34" s="1"/>
  <c r="G88" i="34" s="1"/>
  <c r="E7" i="31"/>
  <c r="C9" i="31"/>
  <c r="H17" i="34"/>
  <c r="G31" i="34"/>
  <c r="G59" i="34" s="1"/>
  <c r="G86" i="34" s="1"/>
  <c r="I36" i="34"/>
  <c r="I64" i="34" s="1"/>
  <c r="I91" i="34" s="1"/>
  <c r="J22" i="34"/>
  <c r="H21" i="34"/>
  <c r="G35" i="34"/>
  <c r="G63" i="34" s="1"/>
  <c r="G90" i="34" s="1"/>
  <c r="K10" i="30"/>
  <c r="A13" i="30"/>
  <c r="C37" i="30"/>
  <c r="C65" i="34"/>
  <c r="C66" i="34" s="1"/>
  <c r="C82" i="34"/>
  <c r="G7" i="32"/>
  <c r="J21" i="29"/>
  <c r="I35" i="29"/>
  <c r="I63" i="29" s="1"/>
  <c r="I90" i="29" s="1"/>
  <c r="I17" i="29"/>
  <c r="H31" i="29"/>
  <c r="H59" i="29" s="1"/>
  <c r="H86" i="29" s="1"/>
  <c r="G36" i="29"/>
  <c r="G64" i="29" s="1"/>
  <c r="G91" i="29" s="1"/>
  <c r="H22" i="29"/>
  <c r="G28" i="29"/>
  <c r="H14" i="29"/>
  <c r="H55" i="29"/>
  <c r="F65" i="29"/>
  <c r="F92" i="29" s="1"/>
  <c r="F82" i="29"/>
  <c r="J13" i="29"/>
  <c r="I27" i="29"/>
  <c r="E82" i="29"/>
  <c r="E65" i="29"/>
  <c r="E92" i="29" s="1"/>
  <c r="D83" i="29"/>
  <c r="D65" i="29"/>
  <c r="J15" i="29"/>
  <c r="I29" i="29"/>
  <c r="I57" i="29" s="1"/>
  <c r="J19" i="29"/>
  <c r="I33" i="29"/>
  <c r="I61" i="29" s="1"/>
  <c r="D9" i="27"/>
  <c r="A9" i="28"/>
  <c r="J9" i="27"/>
  <c r="K9" i="27"/>
  <c r="G9" i="27"/>
  <c r="C9" i="27"/>
  <c r="F9" i="27"/>
  <c r="A10" i="27"/>
  <c r="L9" i="27"/>
  <c r="H9" i="27"/>
  <c r="I9" i="27"/>
  <c r="E9" i="27"/>
  <c r="J23" i="29"/>
  <c r="I37" i="29"/>
  <c r="G82" i="29"/>
  <c r="J20" i="29"/>
  <c r="I34" i="29"/>
  <c r="I62" i="29" s="1"/>
  <c r="I89" i="29" s="1"/>
  <c r="D8" i="28"/>
  <c r="D8" i="26" s="1"/>
  <c r="F8" i="28"/>
  <c r="F8" i="26" s="1"/>
  <c r="K8" i="28"/>
  <c r="G8" i="28"/>
  <c r="G8" i="26" s="1"/>
  <c r="C8" i="28"/>
  <c r="C8" i="26" s="1"/>
  <c r="J8" i="28"/>
  <c r="J8" i="26" s="1"/>
  <c r="E8" i="28"/>
  <c r="I8" i="28"/>
  <c r="L8" i="28"/>
  <c r="L8" i="26" s="1"/>
  <c r="H8" i="28"/>
  <c r="F38" i="29"/>
  <c r="G32" i="29"/>
  <c r="G60" i="29" s="1"/>
  <c r="G87" i="29" s="1"/>
  <c r="H18" i="29"/>
  <c r="K8" i="27"/>
  <c r="M7" i="26"/>
  <c r="I8" i="26"/>
  <c r="E8" i="26"/>
  <c r="K8" i="26"/>
  <c r="O13" i="11"/>
  <c r="Q19" i="11" s="1"/>
  <c r="C7" i="23"/>
  <c r="G7" i="23"/>
  <c r="K7" i="23"/>
  <c r="E7" i="23"/>
  <c r="I7" i="23"/>
  <c r="F7" i="23"/>
  <c r="J7" i="23"/>
  <c r="D7" i="23"/>
  <c r="L7" i="23"/>
  <c r="H7" i="23"/>
  <c r="F55" i="24"/>
  <c r="H34" i="24"/>
  <c r="H62" i="24" s="1"/>
  <c r="H89" i="24" s="1"/>
  <c r="I20" i="24"/>
  <c r="J20" i="24" s="1"/>
  <c r="H32" i="24"/>
  <c r="H60" i="24" s="1"/>
  <c r="H87" i="24" s="1"/>
  <c r="I18" i="24"/>
  <c r="J18" i="24" s="1"/>
  <c r="H30" i="24"/>
  <c r="H58" i="24" s="1"/>
  <c r="H85" i="24" s="1"/>
  <c r="I16" i="24"/>
  <c r="J16" i="24" s="1"/>
  <c r="K8" i="20"/>
  <c r="A8" i="22"/>
  <c r="F36" i="24"/>
  <c r="F64" i="24" s="1"/>
  <c r="F91" i="24" s="1"/>
  <c r="F34" i="24"/>
  <c r="F62" i="24" s="1"/>
  <c r="F89" i="24" s="1"/>
  <c r="F32" i="24"/>
  <c r="F60" i="24" s="1"/>
  <c r="F87" i="24" s="1"/>
  <c r="F30" i="24"/>
  <c r="F58" i="24" s="1"/>
  <c r="F85" i="24" s="1"/>
  <c r="I23" i="24"/>
  <c r="J23" i="24" s="1"/>
  <c r="H37" i="24"/>
  <c r="I21" i="24"/>
  <c r="J21" i="24" s="1"/>
  <c r="H35" i="24"/>
  <c r="H63" i="24" s="1"/>
  <c r="H90" i="24" s="1"/>
  <c r="I19" i="24"/>
  <c r="J19" i="24" s="1"/>
  <c r="H33" i="24"/>
  <c r="H61" i="24" s="1"/>
  <c r="H88" i="24" s="1"/>
  <c r="I17" i="24"/>
  <c r="J17" i="24" s="1"/>
  <c r="H31" i="24"/>
  <c r="H59" i="24" s="1"/>
  <c r="H86" i="24" s="1"/>
  <c r="I15" i="24"/>
  <c r="J15" i="24" s="1"/>
  <c r="H29" i="24"/>
  <c r="H57" i="24" s="1"/>
  <c r="H84" i="24" s="1"/>
  <c r="E7" i="22"/>
  <c r="H36" i="24"/>
  <c r="H64" i="24" s="1"/>
  <c r="H91" i="24" s="1"/>
  <c r="I22" i="24"/>
  <c r="J22" i="24" s="1"/>
  <c r="I14" i="24"/>
  <c r="J14" i="24" s="1"/>
  <c r="I13" i="24"/>
  <c r="J13" i="24" s="1"/>
  <c r="H27" i="24"/>
  <c r="D65" i="24"/>
  <c r="D92" i="24" s="1"/>
  <c r="D93" i="24" s="1"/>
  <c r="D38" i="24"/>
  <c r="G27" i="24"/>
  <c r="G28" i="24"/>
  <c r="G56" i="24" s="1"/>
  <c r="G83" i="24" s="1"/>
  <c r="G29" i="24"/>
  <c r="G57" i="24" s="1"/>
  <c r="G84" i="24" s="1"/>
  <c r="G30" i="24"/>
  <c r="G58" i="24" s="1"/>
  <c r="G85" i="24" s="1"/>
  <c r="G31" i="24"/>
  <c r="G59" i="24" s="1"/>
  <c r="G86" i="24" s="1"/>
  <c r="G32" i="24"/>
  <c r="G60" i="24" s="1"/>
  <c r="G87" i="24" s="1"/>
  <c r="G33" i="24"/>
  <c r="G61" i="24" s="1"/>
  <c r="G88" i="24" s="1"/>
  <c r="G34" i="24"/>
  <c r="G62" i="24" s="1"/>
  <c r="G89" i="24" s="1"/>
  <c r="G35" i="24"/>
  <c r="G63" i="24" s="1"/>
  <c r="G90" i="24" s="1"/>
  <c r="G36" i="24"/>
  <c r="G64" i="24" s="1"/>
  <c r="G91" i="24" s="1"/>
  <c r="G37" i="24"/>
  <c r="C27" i="24"/>
  <c r="C28" i="24"/>
  <c r="C56" i="24" s="1"/>
  <c r="C83" i="24" s="1"/>
  <c r="C29" i="24"/>
  <c r="C57" i="24" s="1"/>
  <c r="C84" i="24" s="1"/>
  <c r="C30" i="24"/>
  <c r="C58" i="24" s="1"/>
  <c r="C85" i="24" s="1"/>
  <c r="C31" i="24"/>
  <c r="C59" i="24" s="1"/>
  <c r="C86" i="24" s="1"/>
  <c r="C32" i="24"/>
  <c r="C60" i="24" s="1"/>
  <c r="C87" i="24" s="1"/>
  <c r="C33" i="24"/>
  <c r="C61" i="24" s="1"/>
  <c r="C88" i="24" s="1"/>
  <c r="C34" i="24"/>
  <c r="C62" i="24" s="1"/>
  <c r="C89" i="24" s="1"/>
  <c r="C35" i="24"/>
  <c r="C63" i="24" s="1"/>
  <c r="C90" i="24" s="1"/>
  <c r="C36" i="24"/>
  <c r="C64" i="24" s="1"/>
  <c r="C91" i="24" s="1"/>
  <c r="C37" i="24"/>
  <c r="I28" i="24"/>
  <c r="I56" i="24" s="1"/>
  <c r="I83" i="24" s="1"/>
  <c r="I30" i="24"/>
  <c r="I58" i="24" s="1"/>
  <c r="I85" i="24" s="1"/>
  <c r="I31" i="24"/>
  <c r="I59" i="24" s="1"/>
  <c r="I86" i="24" s="1"/>
  <c r="I32" i="24"/>
  <c r="I60" i="24" s="1"/>
  <c r="I87" i="24" s="1"/>
  <c r="I34" i="24"/>
  <c r="I62" i="24" s="1"/>
  <c r="I89" i="24" s="1"/>
  <c r="I35" i="24"/>
  <c r="I63" i="24" s="1"/>
  <c r="I90" i="24" s="1"/>
  <c r="I36" i="24"/>
  <c r="I64" i="24" s="1"/>
  <c r="I91" i="24" s="1"/>
  <c r="E27" i="24"/>
  <c r="E28" i="24"/>
  <c r="E56" i="24" s="1"/>
  <c r="E83" i="24" s="1"/>
  <c r="E29" i="24"/>
  <c r="E57" i="24" s="1"/>
  <c r="E84" i="24" s="1"/>
  <c r="E30" i="24"/>
  <c r="E58" i="24" s="1"/>
  <c r="E85" i="24" s="1"/>
  <c r="E31" i="24"/>
  <c r="E59" i="24" s="1"/>
  <c r="E86" i="24" s="1"/>
  <c r="E32" i="24"/>
  <c r="E60" i="24" s="1"/>
  <c r="E87" i="24" s="1"/>
  <c r="E33" i="24"/>
  <c r="E61" i="24" s="1"/>
  <c r="E88" i="24" s="1"/>
  <c r="E34" i="24"/>
  <c r="E62" i="24" s="1"/>
  <c r="E89" i="24" s="1"/>
  <c r="E35" i="24"/>
  <c r="E63" i="24" s="1"/>
  <c r="E90" i="24" s="1"/>
  <c r="E36" i="24"/>
  <c r="E64" i="24" s="1"/>
  <c r="E91" i="24" s="1"/>
  <c r="E37" i="24"/>
  <c r="K10" i="20"/>
  <c r="A13" i="20"/>
  <c r="C33" i="20"/>
  <c r="F37" i="20"/>
  <c r="F38" i="20" s="1"/>
  <c r="F40" i="20" s="1"/>
  <c r="G40" i="20" s="1"/>
  <c r="I65" i="20"/>
  <c r="R55" i="11" s="1"/>
  <c r="K9" i="20"/>
  <c r="A7" i="21"/>
  <c r="D36" i="19"/>
  <c r="D64" i="19" s="1"/>
  <c r="D91" i="19" s="1"/>
  <c r="D32" i="19"/>
  <c r="D60" i="19" s="1"/>
  <c r="D87" i="19" s="1"/>
  <c r="D28" i="19"/>
  <c r="D56" i="19" s="1"/>
  <c r="D83" i="19" s="1"/>
  <c r="F34" i="19"/>
  <c r="F62" i="19" s="1"/>
  <c r="F89" i="19" s="1"/>
  <c r="D34" i="19"/>
  <c r="D62" i="19" s="1"/>
  <c r="D89" i="19" s="1"/>
  <c r="J7" i="18"/>
  <c r="I23" i="19"/>
  <c r="J23" i="19" s="1"/>
  <c r="H37" i="19"/>
  <c r="I21" i="19"/>
  <c r="J21" i="19" s="1"/>
  <c r="H35" i="19"/>
  <c r="H63" i="19" s="1"/>
  <c r="H90" i="19" s="1"/>
  <c r="I19" i="19"/>
  <c r="J19" i="19" s="1"/>
  <c r="H33" i="19"/>
  <c r="H61" i="19" s="1"/>
  <c r="H88" i="19" s="1"/>
  <c r="I17" i="19"/>
  <c r="J17" i="19" s="1"/>
  <c r="H31" i="19"/>
  <c r="H59" i="19" s="1"/>
  <c r="H86" i="19" s="1"/>
  <c r="I15" i="19"/>
  <c r="J15" i="19" s="1"/>
  <c r="H29" i="19"/>
  <c r="H57" i="19" s="1"/>
  <c r="H84" i="19" s="1"/>
  <c r="I13" i="19"/>
  <c r="J13" i="19" s="1"/>
  <c r="H27" i="19"/>
  <c r="F7" i="18"/>
  <c r="F36" i="19"/>
  <c r="F64" i="19" s="1"/>
  <c r="F91" i="19" s="1"/>
  <c r="F35" i="19"/>
  <c r="F63" i="19" s="1"/>
  <c r="F90" i="19" s="1"/>
  <c r="F28" i="19"/>
  <c r="F56" i="19" s="1"/>
  <c r="F83" i="19" s="1"/>
  <c r="F27" i="19"/>
  <c r="F32" i="19"/>
  <c r="F60" i="19" s="1"/>
  <c r="F87" i="19" s="1"/>
  <c r="F31" i="19"/>
  <c r="F59" i="19" s="1"/>
  <c r="F86" i="19" s="1"/>
  <c r="I22" i="19"/>
  <c r="J22" i="19" s="1"/>
  <c r="I20" i="19"/>
  <c r="J20" i="19" s="1"/>
  <c r="I18" i="19"/>
  <c r="J18" i="19" s="1"/>
  <c r="I16" i="19"/>
  <c r="J16" i="19" s="1"/>
  <c r="I14" i="19"/>
  <c r="J14" i="19" s="1"/>
  <c r="D37" i="19"/>
  <c r="D35" i="19"/>
  <c r="D63" i="19" s="1"/>
  <c r="D90" i="19" s="1"/>
  <c r="D33" i="19"/>
  <c r="D61" i="19" s="1"/>
  <c r="D88" i="19" s="1"/>
  <c r="D31" i="19"/>
  <c r="D59" i="19" s="1"/>
  <c r="D86" i="19" s="1"/>
  <c r="D29" i="19"/>
  <c r="D57" i="19" s="1"/>
  <c r="D84" i="19" s="1"/>
  <c r="D27" i="19"/>
  <c r="I27" i="19"/>
  <c r="I28" i="19"/>
  <c r="I56" i="19" s="1"/>
  <c r="I83" i="19" s="1"/>
  <c r="I29" i="19"/>
  <c r="I57" i="19" s="1"/>
  <c r="I31" i="19"/>
  <c r="I59" i="19" s="1"/>
  <c r="I86" i="19" s="1"/>
  <c r="I35" i="19"/>
  <c r="I63" i="19" s="1"/>
  <c r="I90" i="19" s="1"/>
  <c r="I36" i="19"/>
  <c r="I64" i="19" s="1"/>
  <c r="I91" i="19" s="1"/>
  <c r="E27" i="19"/>
  <c r="E28" i="19"/>
  <c r="E56" i="19" s="1"/>
  <c r="E83" i="19" s="1"/>
  <c r="E29" i="19"/>
  <c r="E57" i="19" s="1"/>
  <c r="E30" i="19"/>
  <c r="E58" i="19" s="1"/>
  <c r="E85" i="19" s="1"/>
  <c r="E31" i="19"/>
  <c r="E59" i="19" s="1"/>
  <c r="E86" i="19" s="1"/>
  <c r="E32" i="19"/>
  <c r="E60" i="19" s="1"/>
  <c r="E87" i="19" s="1"/>
  <c r="E33" i="19"/>
  <c r="E61" i="19" s="1"/>
  <c r="E34" i="19"/>
  <c r="E62" i="19" s="1"/>
  <c r="E89" i="19" s="1"/>
  <c r="E35" i="19"/>
  <c r="E63" i="19" s="1"/>
  <c r="E90" i="19" s="1"/>
  <c r="E36" i="19"/>
  <c r="E64" i="19" s="1"/>
  <c r="E91" i="19" s="1"/>
  <c r="E37" i="19"/>
  <c r="G27" i="19"/>
  <c r="G28" i="19"/>
  <c r="G56" i="19" s="1"/>
  <c r="G83" i="19" s="1"/>
  <c r="G29" i="19"/>
  <c r="G57" i="19" s="1"/>
  <c r="G30" i="19"/>
  <c r="G58" i="19" s="1"/>
  <c r="G85" i="19" s="1"/>
  <c r="G31" i="19"/>
  <c r="G59" i="19" s="1"/>
  <c r="G86" i="19" s="1"/>
  <c r="G32" i="19"/>
  <c r="G60" i="19" s="1"/>
  <c r="G87" i="19" s="1"/>
  <c r="G33" i="19"/>
  <c r="G61" i="19" s="1"/>
  <c r="G34" i="19"/>
  <c r="G62" i="19" s="1"/>
  <c r="G89" i="19" s="1"/>
  <c r="G35" i="19"/>
  <c r="G63" i="19" s="1"/>
  <c r="G90" i="19" s="1"/>
  <c r="G36" i="19"/>
  <c r="G64" i="19" s="1"/>
  <c r="G91" i="19" s="1"/>
  <c r="G37" i="19"/>
  <c r="C27" i="19"/>
  <c r="C28" i="19"/>
  <c r="C56" i="19" s="1"/>
  <c r="C83" i="19" s="1"/>
  <c r="C29" i="19"/>
  <c r="C57" i="19" s="1"/>
  <c r="C84" i="19" s="1"/>
  <c r="C30" i="19"/>
  <c r="C58" i="19" s="1"/>
  <c r="C85" i="19" s="1"/>
  <c r="C31" i="19"/>
  <c r="C59" i="19" s="1"/>
  <c r="C86" i="19" s="1"/>
  <c r="C32" i="19"/>
  <c r="C60" i="19" s="1"/>
  <c r="C87" i="19" s="1"/>
  <c r="C33" i="19"/>
  <c r="C61" i="19" s="1"/>
  <c r="C88" i="19" s="1"/>
  <c r="C34" i="19"/>
  <c r="C62" i="19" s="1"/>
  <c r="C89" i="19" s="1"/>
  <c r="C35" i="19"/>
  <c r="C63" i="19" s="1"/>
  <c r="C90" i="19" s="1"/>
  <c r="C36" i="19"/>
  <c r="C64" i="19" s="1"/>
  <c r="C91" i="19" s="1"/>
  <c r="C37" i="19"/>
  <c r="L7" i="18"/>
  <c r="H7" i="18"/>
  <c r="D7" i="18"/>
  <c r="K7" i="18"/>
  <c r="G7" i="18"/>
  <c r="C7" i="18"/>
  <c r="I7" i="18"/>
  <c r="E7" i="18"/>
  <c r="D7" i="17"/>
  <c r="E7" i="17"/>
  <c r="I7" i="17"/>
  <c r="A8" i="17"/>
  <c r="A8" i="18" s="1"/>
  <c r="Q24" i="11"/>
  <c r="O29" i="11" s="1"/>
  <c r="U39" i="11"/>
  <c r="U38" i="11"/>
  <c r="C96" i="29" l="1"/>
  <c r="C97" i="29" s="1"/>
  <c r="C95" i="29"/>
  <c r="N12" i="42"/>
  <c r="F13" i="42"/>
  <c r="J13" i="42"/>
  <c r="D13" i="42"/>
  <c r="H13" i="42"/>
  <c r="L13" i="42"/>
  <c r="E13" i="42"/>
  <c r="I13" i="42"/>
  <c r="A14" i="42"/>
  <c r="K13" i="42"/>
  <c r="C13" i="42"/>
  <c r="G13" i="42"/>
  <c r="L7" i="17"/>
  <c r="J7" i="17"/>
  <c r="I34" i="19"/>
  <c r="I62" i="19" s="1"/>
  <c r="I89" i="19" s="1"/>
  <c r="I37" i="24"/>
  <c r="I33" i="24"/>
  <c r="I61" i="24" s="1"/>
  <c r="I29" i="24"/>
  <c r="I57" i="24" s="1"/>
  <c r="H30" i="29"/>
  <c r="H58" i="29" s="1"/>
  <c r="H85" i="29" s="1"/>
  <c r="I16" i="29"/>
  <c r="E11" i="38"/>
  <c r="E11" i="36" s="1"/>
  <c r="I11" i="38"/>
  <c r="I11" i="36" s="1"/>
  <c r="F11" i="38"/>
  <c r="J11" i="38"/>
  <c r="J11" i="36" s="1"/>
  <c r="H11" i="38"/>
  <c r="C11" i="38"/>
  <c r="C11" i="36" s="1"/>
  <c r="K11" i="38"/>
  <c r="K11" i="36" s="1"/>
  <c r="G11" i="38"/>
  <c r="G11" i="36" s="1"/>
  <c r="A11" i="36"/>
  <c r="D11" i="38"/>
  <c r="D11" i="36" s="1"/>
  <c r="L11" i="38"/>
  <c r="L11" i="36" s="1"/>
  <c r="A12" i="38"/>
  <c r="A13" i="37"/>
  <c r="C12" i="37"/>
  <c r="G12" i="37"/>
  <c r="K12" i="37"/>
  <c r="D12" i="37"/>
  <c r="H12" i="37"/>
  <c r="L12" i="37"/>
  <c r="F12" i="37"/>
  <c r="J12" i="37"/>
  <c r="E12" i="37"/>
  <c r="I12" i="37"/>
  <c r="A1" i="37"/>
  <c r="O10" i="35"/>
  <c r="F11" i="36"/>
  <c r="A16" i="35"/>
  <c r="K15" i="35"/>
  <c r="D10" i="35"/>
  <c r="F10" i="35" s="1"/>
  <c r="M10" i="36"/>
  <c r="O10" i="36" s="1"/>
  <c r="D13" i="35" s="1"/>
  <c r="F13" i="35" s="1"/>
  <c r="H11" i="36"/>
  <c r="N11" i="37"/>
  <c r="K13" i="30"/>
  <c r="A14" i="30"/>
  <c r="E11" i="32"/>
  <c r="A11" i="33"/>
  <c r="D11" i="32"/>
  <c r="J11" i="32"/>
  <c r="F11" i="32"/>
  <c r="K11" i="32"/>
  <c r="L11" i="32"/>
  <c r="C11" i="32"/>
  <c r="A12" i="32"/>
  <c r="I11" i="32"/>
  <c r="I15" i="34"/>
  <c r="H29" i="34"/>
  <c r="H57" i="34" s="1"/>
  <c r="H84" i="34" s="1"/>
  <c r="H13" i="34"/>
  <c r="G27" i="34"/>
  <c r="G8" i="31"/>
  <c r="K14" i="34"/>
  <c r="J28" i="34"/>
  <c r="J56" i="34" s="1"/>
  <c r="J83" i="34" s="1"/>
  <c r="D92" i="34"/>
  <c r="D93" i="34" s="1"/>
  <c r="D94" i="34" s="1"/>
  <c r="D96" i="34" s="1"/>
  <c r="H8" i="32"/>
  <c r="H8" i="31" s="1"/>
  <c r="C52" i="34"/>
  <c r="C92" i="34"/>
  <c r="C93" i="34" s="1"/>
  <c r="H7" i="32"/>
  <c r="I23" i="34"/>
  <c r="H37" i="34"/>
  <c r="E82" i="34"/>
  <c r="E65" i="34"/>
  <c r="E66" i="34" s="1"/>
  <c r="G9" i="32"/>
  <c r="F38" i="34"/>
  <c r="F55" i="34"/>
  <c r="K22" i="34"/>
  <c r="J36" i="34"/>
  <c r="J64" i="34" s="1"/>
  <c r="J91" i="34" s="1"/>
  <c r="I20" i="34"/>
  <c r="H34" i="34"/>
  <c r="H62" i="34" s="1"/>
  <c r="H89" i="34" s="1"/>
  <c r="I18" i="34"/>
  <c r="H32" i="34"/>
  <c r="H60" i="34" s="1"/>
  <c r="H87" i="34" s="1"/>
  <c r="G7" i="31"/>
  <c r="I21" i="34"/>
  <c r="H35" i="34"/>
  <c r="H63" i="34" s="1"/>
  <c r="H90" i="34" s="1"/>
  <c r="I17" i="34"/>
  <c r="H31" i="34"/>
  <c r="H59" i="34" s="1"/>
  <c r="H86" i="34" s="1"/>
  <c r="I19" i="34"/>
  <c r="H33" i="34"/>
  <c r="H61" i="34" s="1"/>
  <c r="H88" i="34" s="1"/>
  <c r="D66" i="34"/>
  <c r="D10" i="31"/>
  <c r="C10" i="33"/>
  <c r="C10" i="31" s="1"/>
  <c r="J10" i="33"/>
  <c r="J10" i="31" s="1"/>
  <c r="D10" i="33"/>
  <c r="H10" i="33"/>
  <c r="E10" i="33"/>
  <c r="E10" i="31" s="1"/>
  <c r="L10" i="33"/>
  <c r="L10" i="31" s="1"/>
  <c r="I10" i="33"/>
  <c r="I10" i="31" s="1"/>
  <c r="K10" i="33"/>
  <c r="K10" i="31" s="1"/>
  <c r="F10" i="33"/>
  <c r="G10" i="33"/>
  <c r="A10" i="31"/>
  <c r="F10" i="31"/>
  <c r="I16" i="34"/>
  <c r="H30" i="34"/>
  <c r="H58" i="34" s="1"/>
  <c r="H85" i="34" s="1"/>
  <c r="K15" i="29"/>
  <c r="J29" i="29"/>
  <c r="J57" i="29" s="1"/>
  <c r="K13" i="29"/>
  <c r="J27" i="29"/>
  <c r="H82" i="29"/>
  <c r="I22" i="29"/>
  <c r="H36" i="29"/>
  <c r="H64" i="29" s="1"/>
  <c r="H91" i="29" s="1"/>
  <c r="I55" i="29"/>
  <c r="G56" i="29"/>
  <c r="G38" i="29"/>
  <c r="K20" i="29"/>
  <c r="J34" i="29"/>
  <c r="J62" i="29" s="1"/>
  <c r="J89" i="29" s="1"/>
  <c r="N9" i="27"/>
  <c r="D10" i="27"/>
  <c r="A10" i="28"/>
  <c r="A10" i="26" s="1"/>
  <c r="A14" i="25" s="1"/>
  <c r="F10" i="27"/>
  <c r="A11" i="27"/>
  <c r="C10" i="27"/>
  <c r="K10" i="27"/>
  <c r="G10" i="27"/>
  <c r="J10" i="27"/>
  <c r="E10" i="27"/>
  <c r="L10" i="27"/>
  <c r="I10" i="27"/>
  <c r="H10" i="27"/>
  <c r="D92" i="29"/>
  <c r="D93" i="29" s="1"/>
  <c r="H8" i="27"/>
  <c r="E66" i="29"/>
  <c r="F93" i="29"/>
  <c r="J35" i="29"/>
  <c r="J63" i="29" s="1"/>
  <c r="J90" i="29" s="1"/>
  <c r="K21" i="29"/>
  <c r="I18" i="29"/>
  <c r="H32" i="29"/>
  <c r="H60" i="29" s="1"/>
  <c r="H87" i="29" s="1"/>
  <c r="C9" i="28"/>
  <c r="C9" i="26" s="1"/>
  <c r="E9" i="28"/>
  <c r="D9" i="28"/>
  <c r="D9" i="26" s="1"/>
  <c r="G9" i="28"/>
  <c r="G9" i="26" s="1"/>
  <c r="I9" i="28"/>
  <c r="I9" i="26" s="1"/>
  <c r="F9" i="28"/>
  <c r="F9" i="26" s="1"/>
  <c r="H9" i="28"/>
  <c r="H9" i="26" s="1"/>
  <c r="J9" i="28"/>
  <c r="J9" i="26" s="1"/>
  <c r="L9" i="28"/>
  <c r="L9" i="26" s="1"/>
  <c r="K9" i="28"/>
  <c r="J17" i="29"/>
  <c r="I31" i="29"/>
  <c r="I59" i="29" s="1"/>
  <c r="I86" i="29" s="1"/>
  <c r="A9" i="26"/>
  <c r="A10" i="25" s="1"/>
  <c r="B40" i="25" s="1"/>
  <c r="K23" i="29"/>
  <c r="J37" i="29"/>
  <c r="K19" i="29"/>
  <c r="J33" i="29"/>
  <c r="J61" i="29" s="1"/>
  <c r="D66" i="29"/>
  <c r="E93" i="29"/>
  <c r="E94" i="29" s="1"/>
  <c r="F66" i="29"/>
  <c r="I14" i="29"/>
  <c r="H28" i="29"/>
  <c r="O7" i="26"/>
  <c r="O8" i="25"/>
  <c r="K9" i="26"/>
  <c r="E9" i="26"/>
  <c r="E38" i="24"/>
  <c r="E55" i="24"/>
  <c r="G38" i="24"/>
  <c r="G55" i="24"/>
  <c r="K13" i="24"/>
  <c r="J27" i="24"/>
  <c r="F65" i="24"/>
  <c r="F92" i="24" s="1"/>
  <c r="F82" i="24"/>
  <c r="C38" i="24"/>
  <c r="C55" i="24"/>
  <c r="D66" i="24"/>
  <c r="K14" i="24"/>
  <c r="J28" i="24"/>
  <c r="J56" i="24" s="1"/>
  <c r="J83" i="24" s="1"/>
  <c r="I7" i="22"/>
  <c r="I7" i="21" s="1"/>
  <c r="C7" i="22"/>
  <c r="C7" i="21" s="1"/>
  <c r="K15" i="24"/>
  <c r="J29" i="24"/>
  <c r="J57" i="24" s="1"/>
  <c r="J84" i="24" s="1"/>
  <c r="K19" i="24"/>
  <c r="J33" i="24"/>
  <c r="J61" i="24" s="1"/>
  <c r="J88" i="24" s="1"/>
  <c r="K23" i="24"/>
  <c r="J37" i="24"/>
  <c r="K16" i="24"/>
  <c r="J30" i="24"/>
  <c r="J58" i="24" s="1"/>
  <c r="J85" i="24" s="1"/>
  <c r="K20" i="24"/>
  <c r="J34" i="24"/>
  <c r="J62" i="24" s="1"/>
  <c r="J89" i="24" s="1"/>
  <c r="J7" i="22"/>
  <c r="J7" i="21" s="1"/>
  <c r="D94" i="24"/>
  <c r="D96" i="24" s="1"/>
  <c r="D7" i="22"/>
  <c r="F7" i="22"/>
  <c r="I27" i="24"/>
  <c r="H55" i="24"/>
  <c r="H38" i="24"/>
  <c r="K22" i="24"/>
  <c r="J36" i="24"/>
  <c r="J64" i="24" s="1"/>
  <c r="J91" i="24" s="1"/>
  <c r="K7" i="22"/>
  <c r="L7" i="22"/>
  <c r="K17" i="24"/>
  <c r="J31" i="24"/>
  <c r="J59" i="24" s="1"/>
  <c r="J86" i="24" s="1"/>
  <c r="K21" i="24"/>
  <c r="J35" i="24"/>
  <c r="J63" i="24" s="1"/>
  <c r="J90" i="24" s="1"/>
  <c r="C8" i="22"/>
  <c r="G8" i="22"/>
  <c r="K8" i="22"/>
  <c r="A8" i="23"/>
  <c r="A8" i="21" s="1"/>
  <c r="E8" i="22"/>
  <c r="I8" i="22"/>
  <c r="D8" i="22"/>
  <c r="L8" i="22"/>
  <c r="H8" i="22"/>
  <c r="J8" i="22"/>
  <c r="F8" i="22"/>
  <c r="A9" i="22"/>
  <c r="K18" i="24"/>
  <c r="J32" i="24"/>
  <c r="J60" i="24" s="1"/>
  <c r="J87" i="24" s="1"/>
  <c r="F38" i="24"/>
  <c r="K13" i="20"/>
  <c r="A14" i="20"/>
  <c r="F7" i="21"/>
  <c r="E7" i="21"/>
  <c r="I37" i="19"/>
  <c r="I33" i="19"/>
  <c r="I61" i="19" s="1"/>
  <c r="I32" i="19"/>
  <c r="I60" i="19" s="1"/>
  <c r="I87" i="19" s="1"/>
  <c r="D8" i="18"/>
  <c r="C8" i="18"/>
  <c r="I8" i="18"/>
  <c r="J8" i="18"/>
  <c r="E8" i="18"/>
  <c r="K8" i="18"/>
  <c r="F8" i="18"/>
  <c r="G8" i="18"/>
  <c r="H8" i="18"/>
  <c r="G38" i="19"/>
  <c r="G55" i="19"/>
  <c r="K16" i="19"/>
  <c r="J30" i="19"/>
  <c r="J58" i="19" s="1"/>
  <c r="J85" i="19" s="1"/>
  <c r="E38" i="19"/>
  <c r="E55" i="19"/>
  <c r="I30" i="19"/>
  <c r="I58" i="19" s="1"/>
  <c r="I85" i="19" s="1"/>
  <c r="K20" i="19"/>
  <c r="J34" i="19"/>
  <c r="J62" i="19" s="1"/>
  <c r="J89" i="19" s="1"/>
  <c r="H55" i="19"/>
  <c r="H38" i="19"/>
  <c r="C7" i="17"/>
  <c r="C7" i="16" s="1"/>
  <c r="K14" i="19"/>
  <c r="J28" i="19"/>
  <c r="J56" i="19" s="1"/>
  <c r="J83" i="19" s="1"/>
  <c r="K22" i="19"/>
  <c r="J36" i="19"/>
  <c r="J64" i="19" s="1"/>
  <c r="J91" i="19" s="1"/>
  <c r="K13" i="19"/>
  <c r="J27" i="19"/>
  <c r="K17" i="19"/>
  <c r="J31" i="19"/>
  <c r="J59" i="19" s="1"/>
  <c r="J86" i="19" s="1"/>
  <c r="K21" i="19"/>
  <c r="J35" i="19"/>
  <c r="J63" i="19" s="1"/>
  <c r="J90" i="19" s="1"/>
  <c r="F7" i="17"/>
  <c r="K7" i="17"/>
  <c r="L8" i="18"/>
  <c r="C38" i="19"/>
  <c r="C55" i="19"/>
  <c r="I55" i="19"/>
  <c r="D55" i="19"/>
  <c r="D38" i="19"/>
  <c r="K18" i="19"/>
  <c r="J32" i="19"/>
  <c r="J60" i="19" s="1"/>
  <c r="J87" i="19" s="1"/>
  <c r="F55" i="19"/>
  <c r="F38" i="19"/>
  <c r="K15" i="19"/>
  <c r="J29" i="19"/>
  <c r="J57" i="19" s="1"/>
  <c r="K19" i="19"/>
  <c r="J33" i="19"/>
  <c r="J61" i="19" s="1"/>
  <c r="K23" i="19"/>
  <c r="J37" i="19"/>
  <c r="A7" i="16"/>
  <c r="D7" i="16"/>
  <c r="D8" i="17"/>
  <c r="L8" i="17"/>
  <c r="C8" i="17"/>
  <c r="K8" i="17"/>
  <c r="E8" i="17"/>
  <c r="I8" i="17"/>
  <c r="F8" i="17"/>
  <c r="J8" i="17"/>
  <c r="A9" i="17"/>
  <c r="A9" i="18" s="1"/>
  <c r="A9" i="16" s="1"/>
  <c r="A10" i="15" s="1"/>
  <c r="I7" i="16"/>
  <c r="F7" i="16"/>
  <c r="L7" i="16"/>
  <c r="E7" i="16"/>
  <c r="J7" i="16"/>
  <c r="K7" i="16"/>
  <c r="U12" i="11"/>
  <c r="U11" i="11"/>
  <c r="C44" i="14"/>
  <c r="F43" i="14"/>
  <c r="F42" i="14"/>
  <c r="F41" i="14"/>
  <c r="F40" i="14"/>
  <c r="F39" i="14"/>
  <c r="F38" i="14"/>
  <c r="E37" i="14"/>
  <c r="E44" i="14" s="1"/>
  <c r="C30" i="14"/>
  <c r="E29" i="14"/>
  <c r="F29" i="14" s="1"/>
  <c r="F28" i="14"/>
  <c r="F27" i="14"/>
  <c r="F26" i="14"/>
  <c r="F25" i="14"/>
  <c r="E24" i="14"/>
  <c r="C18" i="14"/>
  <c r="C17" i="14"/>
  <c r="D16" i="14"/>
  <c r="D18" i="14" s="1"/>
  <c r="D15" i="14"/>
  <c r="D14" i="14"/>
  <c r="D13" i="14"/>
  <c r="C9" i="14"/>
  <c r="C8" i="14"/>
  <c r="D7" i="14"/>
  <c r="D9" i="14" s="1"/>
  <c r="D6" i="14"/>
  <c r="D5" i="14"/>
  <c r="D4" i="14"/>
  <c r="D17" i="14" l="1"/>
  <c r="D19" i="14" s="1"/>
  <c r="C19" i="14"/>
  <c r="F66" i="24"/>
  <c r="N13" i="42"/>
  <c r="D8" i="14"/>
  <c r="D10" i="14" s="1"/>
  <c r="C10" i="14"/>
  <c r="E15" i="14"/>
  <c r="F15" i="14" s="1"/>
  <c r="E30" i="14"/>
  <c r="E31" i="14" s="1"/>
  <c r="E32" i="14" s="1"/>
  <c r="E6" i="14" s="1"/>
  <c r="F6" i="14" s="1"/>
  <c r="F37" i="14"/>
  <c r="F44" i="14" s="1"/>
  <c r="C14" i="42"/>
  <c r="G14" i="42"/>
  <c r="K14" i="42"/>
  <c r="E14" i="42"/>
  <c r="I14" i="42"/>
  <c r="A15" i="42"/>
  <c r="F14" i="42"/>
  <c r="J14" i="42"/>
  <c r="D14" i="42"/>
  <c r="H14" i="42"/>
  <c r="L14" i="42"/>
  <c r="J16" i="29"/>
  <c r="I30" i="29"/>
  <c r="I58" i="29" s="1"/>
  <c r="I85" i="29" s="1"/>
  <c r="N8" i="32"/>
  <c r="M11" i="36"/>
  <c r="O11" i="36" s="1"/>
  <c r="D14" i="35" s="1"/>
  <c r="F14" i="35" s="1"/>
  <c r="O13" i="35"/>
  <c r="N12" i="37"/>
  <c r="A13" i="38"/>
  <c r="C13" i="37"/>
  <c r="G13" i="37"/>
  <c r="K13" i="37"/>
  <c r="D13" i="37"/>
  <c r="H13" i="37"/>
  <c r="L13" i="37"/>
  <c r="J13" i="37"/>
  <c r="E13" i="37"/>
  <c r="I13" i="37"/>
  <c r="F13" i="37"/>
  <c r="A14" i="37"/>
  <c r="K16" i="35"/>
  <c r="A17" i="35"/>
  <c r="F12" i="38"/>
  <c r="F12" i="36" s="1"/>
  <c r="J12" i="38"/>
  <c r="J12" i="36" s="1"/>
  <c r="C12" i="38"/>
  <c r="C12" i="36" s="1"/>
  <c r="G12" i="38"/>
  <c r="G12" i="36" s="1"/>
  <c r="K12" i="38"/>
  <c r="K12" i="36" s="1"/>
  <c r="L12" i="38"/>
  <c r="L12" i="36" s="1"/>
  <c r="E12" i="38"/>
  <c r="E12" i="36" s="1"/>
  <c r="H12" i="38"/>
  <c r="H12" i="36" s="1"/>
  <c r="I12" i="38"/>
  <c r="I12" i="36" s="1"/>
  <c r="D12" i="38"/>
  <c r="D12" i="36" s="1"/>
  <c r="A12" i="36"/>
  <c r="A1" i="38"/>
  <c r="O14" i="35"/>
  <c r="C94" i="34"/>
  <c r="C96" i="34" s="1"/>
  <c r="L22" i="34"/>
  <c r="K36" i="34"/>
  <c r="K64" i="34" s="1"/>
  <c r="K91" i="34" s="1"/>
  <c r="I37" i="34"/>
  <c r="J23" i="34"/>
  <c r="J17" i="34"/>
  <c r="I31" i="34"/>
  <c r="I59" i="34" s="1"/>
  <c r="I86" i="34" s="1"/>
  <c r="F65" i="34"/>
  <c r="F82" i="34"/>
  <c r="G10" i="32"/>
  <c r="E92" i="34"/>
  <c r="E93" i="34" s="1"/>
  <c r="H9" i="32"/>
  <c r="H9" i="31" s="1"/>
  <c r="L14" i="34"/>
  <c r="K28" i="34"/>
  <c r="K56" i="34" s="1"/>
  <c r="K83" i="34" s="1"/>
  <c r="I13" i="34"/>
  <c r="H27" i="34"/>
  <c r="K14" i="30"/>
  <c r="A15" i="30"/>
  <c r="G38" i="34"/>
  <c r="G55" i="34"/>
  <c r="I34" i="34"/>
  <c r="I62" i="34" s="1"/>
  <c r="I89" i="34" s="1"/>
  <c r="J20" i="34"/>
  <c r="E12" i="32"/>
  <c r="C12" i="32"/>
  <c r="A13" i="32"/>
  <c r="D12" i="32"/>
  <c r="J12" i="32"/>
  <c r="A12" i="33"/>
  <c r="F12" i="32"/>
  <c r="K12" i="32"/>
  <c r="L12" i="32"/>
  <c r="I12" i="32"/>
  <c r="I30" i="34"/>
  <c r="I58" i="34" s="1"/>
  <c r="I85" i="34" s="1"/>
  <c r="J16" i="34"/>
  <c r="I33" i="34"/>
  <c r="I61" i="34" s="1"/>
  <c r="J19" i="34"/>
  <c r="J21" i="34"/>
  <c r="I35" i="34"/>
  <c r="I63" i="34" s="1"/>
  <c r="I90" i="34" s="1"/>
  <c r="I32" i="34"/>
  <c r="I60" i="34" s="1"/>
  <c r="I87" i="34" s="1"/>
  <c r="J18" i="34"/>
  <c r="G9" i="31"/>
  <c r="H7" i="31"/>
  <c r="M7" i="31" s="1"/>
  <c r="M8" i="31"/>
  <c r="I29" i="34"/>
  <c r="I57" i="34" s="1"/>
  <c r="J15" i="34"/>
  <c r="D11" i="33"/>
  <c r="D11" i="31" s="1"/>
  <c r="J11" i="33"/>
  <c r="J11" i="31" s="1"/>
  <c r="C11" i="33"/>
  <c r="C11" i="31" s="1"/>
  <c r="K11" i="33"/>
  <c r="K11" i="31" s="1"/>
  <c r="F11" i="33"/>
  <c r="F11" i="31" s="1"/>
  <c r="G11" i="33"/>
  <c r="I11" i="33"/>
  <c r="I11" i="31" s="1"/>
  <c r="L11" i="33"/>
  <c r="L11" i="31" s="1"/>
  <c r="E11" i="33"/>
  <c r="E11" i="31" s="1"/>
  <c r="H11" i="33"/>
  <c r="A11" i="31"/>
  <c r="N7" i="32"/>
  <c r="D94" i="29"/>
  <c r="F94" i="29"/>
  <c r="D11" i="27"/>
  <c r="A11" i="28"/>
  <c r="A11" i="26" s="1"/>
  <c r="A15" i="25" s="1"/>
  <c r="J11" i="27"/>
  <c r="C11" i="27"/>
  <c r="G11" i="27"/>
  <c r="K11" i="27"/>
  <c r="F11" i="27"/>
  <c r="A12" i="27"/>
  <c r="L11" i="27"/>
  <c r="I11" i="27"/>
  <c r="E11" i="27"/>
  <c r="G83" i="29"/>
  <c r="G65" i="29"/>
  <c r="G92" i="29" s="1"/>
  <c r="K29" i="29"/>
  <c r="K57" i="29" s="1"/>
  <c r="L15" i="29"/>
  <c r="K33" i="29"/>
  <c r="K61" i="29" s="1"/>
  <c r="L19" i="29"/>
  <c r="N10" i="27"/>
  <c r="E95" i="29"/>
  <c r="E96" i="29"/>
  <c r="E97" i="29" s="1"/>
  <c r="H56" i="29"/>
  <c r="H38" i="29"/>
  <c r="K37" i="29"/>
  <c r="L23" i="29"/>
  <c r="K17" i="29"/>
  <c r="J31" i="29"/>
  <c r="J59" i="29" s="1"/>
  <c r="J86" i="29" s="1"/>
  <c r="J18" i="29"/>
  <c r="I32" i="29"/>
  <c r="I60" i="29" s="1"/>
  <c r="I87" i="29" s="1"/>
  <c r="I82" i="29"/>
  <c r="J22" i="29"/>
  <c r="I36" i="29"/>
  <c r="I64" i="29" s="1"/>
  <c r="I91" i="29" s="1"/>
  <c r="J55" i="29"/>
  <c r="J14" i="29"/>
  <c r="I28" i="29"/>
  <c r="L21" i="29"/>
  <c r="K35" i="29"/>
  <c r="K63" i="29" s="1"/>
  <c r="K90" i="29" s="1"/>
  <c r="N8" i="27"/>
  <c r="H8" i="26"/>
  <c r="M8" i="26" s="1"/>
  <c r="O8" i="26" s="1"/>
  <c r="D9" i="25" s="1"/>
  <c r="F9" i="25" s="1"/>
  <c r="D10" i="28"/>
  <c r="H10" i="28"/>
  <c r="L10" i="28"/>
  <c r="E10" i="28"/>
  <c r="I10" i="28"/>
  <c r="I10" i="26" s="1"/>
  <c r="J10" i="28"/>
  <c r="C10" i="28"/>
  <c r="C10" i="26" s="1"/>
  <c r="K10" i="28"/>
  <c r="K10" i="26" s="1"/>
  <c r="G10" i="28"/>
  <c r="G10" i="26" s="1"/>
  <c r="F10" i="28"/>
  <c r="K34" i="29"/>
  <c r="K62" i="29" s="1"/>
  <c r="K89" i="29" s="1"/>
  <c r="L20" i="29"/>
  <c r="K27" i="29"/>
  <c r="L13" i="29"/>
  <c r="D8" i="25"/>
  <c r="M9" i="26"/>
  <c r="E10" i="26"/>
  <c r="H10" i="26"/>
  <c r="L10" i="26"/>
  <c r="D10" i="26"/>
  <c r="F10" i="26"/>
  <c r="J10" i="26"/>
  <c r="E8" i="23"/>
  <c r="J8" i="23"/>
  <c r="J8" i="21" s="1"/>
  <c r="F8" i="23"/>
  <c r="F8" i="21" s="1"/>
  <c r="L8" i="23"/>
  <c r="L8" i="21" s="1"/>
  <c r="H8" i="23"/>
  <c r="K8" i="23"/>
  <c r="D8" i="23"/>
  <c r="D8" i="21" s="1"/>
  <c r="G8" i="23"/>
  <c r="G8" i="21" s="1"/>
  <c r="I8" i="23"/>
  <c r="C8" i="23"/>
  <c r="I38" i="24"/>
  <c r="I55" i="24"/>
  <c r="G82" i="24"/>
  <c r="G65" i="24"/>
  <c r="G92" i="24" s="1"/>
  <c r="G66" i="24"/>
  <c r="L21" i="24"/>
  <c r="K35" i="24"/>
  <c r="K63" i="24" s="1"/>
  <c r="K90" i="24" s="1"/>
  <c r="L20" i="24"/>
  <c r="K34" i="24"/>
  <c r="K62" i="24" s="1"/>
  <c r="K89" i="24" s="1"/>
  <c r="L23" i="24"/>
  <c r="K37" i="24"/>
  <c r="L15" i="24"/>
  <c r="K29" i="24"/>
  <c r="K57" i="24" s="1"/>
  <c r="K84" i="24" s="1"/>
  <c r="L14" i="24"/>
  <c r="K28" i="24"/>
  <c r="K56" i="24" s="1"/>
  <c r="K83" i="24" s="1"/>
  <c r="E82" i="24"/>
  <c r="E65" i="24"/>
  <c r="E92" i="24" s="1"/>
  <c r="L7" i="21"/>
  <c r="K7" i="21"/>
  <c r="J55" i="24"/>
  <c r="J38" i="24"/>
  <c r="D7" i="21"/>
  <c r="L18" i="24"/>
  <c r="K32" i="24"/>
  <c r="K60" i="24" s="1"/>
  <c r="K87" i="24" s="1"/>
  <c r="N8" i="22"/>
  <c r="L17" i="24"/>
  <c r="K31" i="24"/>
  <c r="K59" i="24" s="1"/>
  <c r="K86" i="24" s="1"/>
  <c r="L22" i="24"/>
  <c r="K36" i="24"/>
  <c r="K64" i="24" s="1"/>
  <c r="K91" i="24" s="1"/>
  <c r="L16" i="24"/>
  <c r="K30" i="24"/>
  <c r="K58" i="24" s="1"/>
  <c r="K85" i="24" s="1"/>
  <c r="L19" i="24"/>
  <c r="K33" i="24"/>
  <c r="K61" i="24" s="1"/>
  <c r="K88" i="24" s="1"/>
  <c r="C82" i="24"/>
  <c r="C65" i="24"/>
  <c r="G7" i="22"/>
  <c r="F93" i="24"/>
  <c r="F94" i="24" s="1"/>
  <c r="F96" i="24" s="1"/>
  <c r="L13" i="24"/>
  <c r="K27" i="24"/>
  <c r="C9" i="22"/>
  <c r="G9" i="22"/>
  <c r="K9" i="22"/>
  <c r="E9" i="22"/>
  <c r="I9" i="22"/>
  <c r="A9" i="23"/>
  <c r="A9" i="21" s="1"/>
  <c r="J9" i="22"/>
  <c r="D9" i="22"/>
  <c r="L9" i="22"/>
  <c r="F9" i="22"/>
  <c r="A10" i="22"/>
  <c r="H65" i="24"/>
  <c r="H92" i="24" s="1"/>
  <c r="H82" i="24"/>
  <c r="A15" i="20"/>
  <c r="K14" i="20"/>
  <c r="E8" i="21"/>
  <c r="I8" i="21"/>
  <c r="H8" i="21"/>
  <c r="K8" i="21"/>
  <c r="C8" i="21"/>
  <c r="L22" i="19"/>
  <c r="K36" i="19"/>
  <c r="K64" i="19" s="1"/>
  <c r="K91" i="19" s="1"/>
  <c r="L16" i="19"/>
  <c r="K30" i="19"/>
  <c r="K58" i="19" s="1"/>
  <c r="K85" i="19" s="1"/>
  <c r="L19" i="19"/>
  <c r="K33" i="19"/>
  <c r="K61" i="19" s="1"/>
  <c r="F65" i="19"/>
  <c r="F92" i="19" s="1"/>
  <c r="F82" i="19"/>
  <c r="D65" i="19"/>
  <c r="D82" i="19"/>
  <c r="D66" i="19"/>
  <c r="J55" i="19"/>
  <c r="J38" i="19"/>
  <c r="H82" i="19"/>
  <c r="H65" i="19"/>
  <c r="H92" i="19" s="1"/>
  <c r="E65" i="19"/>
  <c r="E92" i="19" s="1"/>
  <c r="E66" i="19"/>
  <c r="E82" i="19"/>
  <c r="E93" i="19" s="1"/>
  <c r="G82" i="19"/>
  <c r="G65" i="19"/>
  <c r="G92" i="19" s="1"/>
  <c r="G66" i="19"/>
  <c r="G8" i="17"/>
  <c r="I65" i="19"/>
  <c r="I92" i="19" s="1"/>
  <c r="I82" i="19"/>
  <c r="L21" i="19"/>
  <c r="K35" i="19"/>
  <c r="K63" i="19" s="1"/>
  <c r="K90" i="19" s="1"/>
  <c r="L13" i="19"/>
  <c r="K27" i="19"/>
  <c r="L14" i="19"/>
  <c r="K28" i="19"/>
  <c r="K56" i="19" s="1"/>
  <c r="K83" i="19" s="1"/>
  <c r="C9" i="18"/>
  <c r="D9" i="18"/>
  <c r="L9" i="18"/>
  <c r="H9" i="18"/>
  <c r="J9" i="18"/>
  <c r="F9" i="18"/>
  <c r="G9" i="18"/>
  <c r="I9" i="18"/>
  <c r="E9" i="18"/>
  <c r="K9" i="18"/>
  <c r="C82" i="19"/>
  <c r="C65" i="19"/>
  <c r="C66" i="19" s="1"/>
  <c r="G7" i="17"/>
  <c r="G7" i="16" s="1"/>
  <c r="L17" i="19"/>
  <c r="K31" i="19"/>
  <c r="K59" i="19" s="1"/>
  <c r="K86" i="19" s="1"/>
  <c r="L23" i="19"/>
  <c r="K37" i="19"/>
  <c r="L15" i="19"/>
  <c r="K29" i="19"/>
  <c r="K57" i="19" s="1"/>
  <c r="L18" i="19"/>
  <c r="K32" i="19"/>
  <c r="K60" i="19" s="1"/>
  <c r="K87" i="19" s="1"/>
  <c r="I38" i="19"/>
  <c r="L20" i="19"/>
  <c r="K34" i="19"/>
  <c r="K62" i="19" s="1"/>
  <c r="K89" i="19" s="1"/>
  <c r="F8" i="16"/>
  <c r="B34" i="15"/>
  <c r="I8" i="16"/>
  <c r="A8" i="16"/>
  <c r="A9" i="15" s="1"/>
  <c r="L8" i="16"/>
  <c r="J8" i="16"/>
  <c r="K8" i="16"/>
  <c r="D8" i="16"/>
  <c r="C8" i="16"/>
  <c r="D9" i="17"/>
  <c r="H9" i="17"/>
  <c r="L9" i="17"/>
  <c r="C9" i="17"/>
  <c r="G9" i="17"/>
  <c r="K9" i="17"/>
  <c r="E9" i="17"/>
  <c r="I9" i="17"/>
  <c r="F9" i="17"/>
  <c r="A10" i="17"/>
  <c r="A10" i="18" s="1"/>
  <c r="J9" i="17"/>
  <c r="E8" i="16"/>
  <c r="C20" i="14"/>
  <c r="E16" i="14"/>
  <c r="E7" i="14"/>
  <c r="E5" i="14"/>
  <c r="F5" i="14" s="1"/>
  <c r="W15" i="11" s="1"/>
  <c r="E14" i="14"/>
  <c r="F14" i="14" s="1"/>
  <c r="W42" i="11" s="1"/>
  <c r="W50" i="11" s="1"/>
  <c r="E4" i="14"/>
  <c r="F4" i="14" s="1"/>
  <c r="E13" i="14"/>
  <c r="F24" i="14"/>
  <c r="F30" i="14" s="1"/>
  <c r="F31" i="14" s="1"/>
  <c r="F32" i="14" s="1"/>
  <c r="S50" i="11"/>
  <c r="U40" i="11"/>
  <c r="W46" i="11" s="1"/>
  <c r="W51" i="11" s="1"/>
  <c r="U56" i="11" s="1"/>
  <c r="X55" i="11" s="1"/>
  <c r="S39" i="11"/>
  <c r="S38" i="11"/>
  <c r="S37" i="11"/>
  <c r="W23" i="11"/>
  <c r="U13" i="11"/>
  <c r="W19" i="11" s="1"/>
  <c r="O9" i="25" l="1"/>
  <c r="D15" i="42"/>
  <c r="H15" i="42"/>
  <c r="L15" i="42"/>
  <c r="F15" i="42"/>
  <c r="J15" i="42"/>
  <c r="C15" i="42"/>
  <c r="G15" i="42"/>
  <c r="K15" i="42"/>
  <c r="E15" i="42"/>
  <c r="I15" i="42"/>
  <c r="A16" i="42"/>
  <c r="D20" i="14"/>
  <c r="G66" i="29"/>
  <c r="N14" i="42"/>
  <c r="J30" i="29"/>
  <c r="J58" i="29" s="1"/>
  <c r="J85" i="29" s="1"/>
  <c r="K16" i="29"/>
  <c r="N9" i="32"/>
  <c r="M9" i="31"/>
  <c r="M12" i="36"/>
  <c r="O12" i="36" s="1"/>
  <c r="D15" i="35" s="1"/>
  <c r="F15" i="35" s="1"/>
  <c r="A1" i="36"/>
  <c r="N13" i="37"/>
  <c r="C13" i="38"/>
  <c r="C13" i="36" s="1"/>
  <c r="G13" i="38"/>
  <c r="K13" i="38"/>
  <c r="K13" i="36" s="1"/>
  <c r="D13" i="38"/>
  <c r="D13" i="36" s="1"/>
  <c r="H13" i="38"/>
  <c r="H13" i="36" s="1"/>
  <c r="L13" i="38"/>
  <c r="J13" i="38"/>
  <c r="J13" i="36" s="1"/>
  <c r="E13" i="38"/>
  <c r="E13" i="36" s="1"/>
  <c r="A13" i="36"/>
  <c r="I13" i="38"/>
  <c r="I13" i="36" s="1"/>
  <c r="F13" i="38"/>
  <c r="F13" i="36" s="1"/>
  <c r="A15" i="37"/>
  <c r="C14" i="37"/>
  <c r="A14" i="38"/>
  <c r="D14" i="37"/>
  <c r="H14" i="37"/>
  <c r="L14" i="37"/>
  <c r="F14" i="37"/>
  <c r="J14" i="37"/>
  <c r="E14" i="37"/>
  <c r="I14" i="37"/>
  <c r="K14" i="37"/>
  <c r="G14" i="37"/>
  <c r="K17" i="35"/>
  <c r="A18" i="35"/>
  <c r="L13" i="36"/>
  <c r="G13" i="36"/>
  <c r="E94" i="34"/>
  <c r="E96" i="34" s="1"/>
  <c r="F92" i="34"/>
  <c r="H10" i="32"/>
  <c r="N10" i="32" s="1"/>
  <c r="O9" i="30"/>
  <c r="O8" i="31"/>
  <c r="D9" i="30" s="1"/>
  <c r="F9" i="30" s="1"/>
  <c r="O9" i="31"/>
  <c r="D10" i="30" s="1"/>
  <c r="F10" i="30" s="1"/>
  <c r="O10" i="30"/>
  <c r="K21" i="34"/>
  <c r="J35" i="34"/>
  <c r="J63" i="34" s="1"/>
  <c r="J90" i="34" s="1"/>
  <c r="G65" i="34"/>
  <c r="G66" i="34"/>
  <c r="G82" i="34"/>
  <c r="G11" i="32"/>
  <c r="G10" i="31"/>
  <c r="J37" i="34"/>
  <c r="K23" i="34"/>
  <c r="K18" i="34"/>
  <c r="J32" i="34"/>
  <c r="J60" i="34" s="1"/>
  <c r="J87" i="34" s="1"/>
  <c r="J33" i="34"/>
  <c r="J61" i="34" s="1"/>
  <c r="J88" i="34" s="1"/>
  <c r="K19" i="34"/>
  <c r="E13" i="32"/>
  <c r="L13" i="32"/>
  <c r="C13" i="32"/>
  <c r="A14" i="32"/>
  <c r="D13" i="32"/>
  <c r="J13" i="32"/>
  <c r="F13" i="32"/>
  <c r="A13" i="33"/>
  <c r="K13" i="32"/>
  <c r="I13" i="32"/>
  <c r="M14" i="34"/>
  <c r="L28" i="34"/>
  <c r="L56" i="34" s="1"/>
  <c r="L83" i="34" s="1"/>
  <c r="F93" i="34"/>
  <c r="K17" i="34"/>
  <c r="J31" i="34"/>
  <c r="J59" i="34" s="1"/>
  <c r="J86" i="34" s="1"/>
  <c r="K15" i="30"/>
  <c r="A16" i="30"/>
  <c r="I27" i="34"/>
  <c r="J13" i="34"/>
  <c r="J29" i="34"/>
  <c r="J57" i="34" s="1"/>
  <c r="J84" i="34" s="1"/>
  <c r="K15" i="34"/>
  <c r="O7" i="31"/>
  <c r="D8" i="30" s="1"/>
  <c r="O8" i="30"/>
  <c r="J30" i="34"/>
  <c r="J58" i="34" s="1"/>
  <c r="J85" i="34" s="1"/>
  <c r="K16" i="34"/>
  <c r="E12" i="33"/>
  <c r="E12" i="31" s="1"/>
  <c r="D12" i="33"/>
  <c r="D12" i="31" s="1"/>
  <c r="J12" i="33"/>
  <c r="J12" i="31" s="1"/>
  <c r="F12" i="33"/>
  <c r="F12" i="31" s="1"/>
  <c r="K12" i="33"/>
  <c r="K12" i="31" s="1"/>
  <c r="G12" i="33"/>
  <c r="L12" i="33"/>
  <c r="L12" i="31" s="1"/>
  <c r="H12" i="33"/>
  <c r="C12" i="33"/>
  <c r="C12" i="31" s="1"/>
  <c r="I12" i="33"/>
  <c r="I12" i="31" s="1"/>
  <c r="A12" i="31"/>
  <c r="J34" i="34"/>
  <c r="J62" i="34" s="1"/>
  <c r="J89" i="34" s="1"/>
  <c r="K20" i="34"/>
  <c r="H55" i="34"/>
  <c r="H38" i="34"/>
  <c r="F66" i="34"/>
  <c r="M22" i="34"/>
  <c r="L36" i="34"/>
  <c r="L64" i="34" s="1"/>
  <c r="L91" i="34" s="1"/>
  <c r="M21" i="29"/>
  <c r="L35" i="29"/>
  <c r="L63" i="29" s="1"/>
  <c r="L90" i="29" s="1"/>
  <c r="K18" i="29"/>
  <c r="J32" i="29"/>
  <c r="J60" i="29" s="1"/>
  <c r="J87" i="29" s="1"/>
  <c r="I56" i="29"/>
  <c r="I38" i="29"/>
  <c r="J82" i="29"/>
  <c r="G93" i="29"/>
  <c r="L34" i="29"/>
  <c r="L62" i="29" s="1"/>
  <c r="L89" i="29" s="1"/>
  <c r="M20" i="29"/>
  <c r="E11" i="28"/>
  <c r="H11" i="28"/>
  <c r="J11" i="28"/>
  <c r="L11" i="28"/>
  <c r="F11" i="28"/>
  <c r="D11" i="28"/>
  <c r="D11" i="26" s="1"/>
  <c r="K11" i="28"/>
  <c r="G11" i="28"/>
  <c r="C11" i="28"/>
  <c r="I11" i="28"/>
  <c r="I11" i="26" s="1"/>
  <c r="L27" i="29"/>
  <c r="M13" i="29"/>
  <c r="M27" i="29" s="1"/>
  <c r="K14" i="29"/>
  <c r="J28" i="29"/>
  <c r="L17" i="29"/>
  <c r="K31" i="29"/>
  <c r="K59" i="29" s="1"/>
  <c r="K86" i="29" s="1"/>
  <c r="H83" i="29"/>
  <c r="H65" i="29"/>
  <c r="H92" i="29" s="1"/>
  <c r="L33" i="29"/>
  <c r="L61" i="29" s="1"/>
  <c r="M19" i="29"/>
  <c r="D12" i="27"/>
  <c r="F12" i="27"/>
  <c r="A13" i="27"/>
  <c r="G12" i="27"/>
  <c r="C12" i="27"/>
  <c r="K12" i="27"/>
  <c r="A12" i="28"/>
  <c r="J12" i="27"/>
  <c r="E12" i="27"/>
  <c r="L12" i="27"/>
  <c r="I12" i="27"/>
  <c r="L29" i="29"/>
  <c r="L57" i="29" s="1"/>
  <c r="M15" i="29"/>
  <c r="K55" i="29"/>
  <c r="K22" i="29"/>
  <c r="J36" i="29"/>
  <c r="J64" i="29" s="1"/>
  <c r="J91" i="29" s="1"/>
  <c r="L37" i="29"/>
  <c r="M23" i="29"/>
  <c r="M37" i="29" s="1"/>
  <c r="H11" i="27"/>
  <c r="F95" i="29"/>
  <c r="F96" i="29"/>
  <c r="F97" i="29" s="1"/>
  <c r="D95" i="29"/>
  <c r="D96" i="29"/>
  <c r="D97" i="29" s="1"/>
  <c r="O9" i="26"/>
  <c r="D10" i="25" s="1"/>
  <c r="F10" i="25" s="1"/>
  <c r="O10" i="25"/>
  <c r="F8" i="25"/>
  <c r="M10" i="26"/>
  <c r="K11" i="26"/>
  <c r="F11" i="26"/>
  <c r="C11" i="26"/>
  <c r="L11" i="26"/>
  <c r="G11" i="26"/>
  <c r="J11" i="26"/>
  <c r="E11" i="26"/>
  <c r="A12" i="26"/>
  <c r="A16" i="25" s="1"/>
  <c r="G7" i="21"/>
  <c r="L30" i="24"/>
  <c r="L58" i="24" s="1"/>
  <c r="L85" i="24" s="1"/>
  <c r="M16" i="24"/>
  <c r="L32" i="24"/>
  <c r="L60" i="24" s="1"/>
  <c r="L87" i="24" s="1"/>
  <c r="M18" i="24"/>
  <c r="K38" i="24"/>
  <c r="K55" i="24"/>
  <c r="C52" i="24"/>
  <c r="C92" i="24"/>
  <c r="H7" i="22"/>
  <c r="M17" i="24"/>
  <c r="L31" i="24"/>
  <c r="L59" i="24" s="1"/>
  <c r="L86" i="24" s="1"/>
  <c r="L28" i="24"/>
  <c r="L56" i="24" s="1"/>
  <c r="L83" i="24" s="1"/>
  <c r="M14" i="24"/>
  <c r="H93" i="24"/>
  <c r="M13" i="24"/>
  <c r="L27" i="24"/>
  <c r="C66" i="24"/>
  <c r="M19" i="24"/>
  <c r="L33" i="24"/>
  <c r="L61" i="24" s="1"/>
  <c r="L88" i="24" s="1"/>
  <c r="E66" i="24"/>
  <c r="G93" i="24"/>
  <c r="G94" i="24" s="1"/>
  <c r="G96" i="24" s="1"/>
  <c r="H66" i="24"/>
  <c r="H9" i="22"/>
  <c r="N9" i="22" s="1"/>
  <c r="C93" i="24"/>
  <c r="L36" i="24"/>
  <c r="L64" i="24" s="1"/>
  <c r="L91" i="24" s="1"/>
  <c r="M22" i="24"/>
  <c r="J65" i="24"/>
  <c r="J92" i="24" s="1"/>
  <c r="J82" i="24"/>
  <c r="E93" i="24"/>
  <c r="M15" i="24"/>
  <c r="L29" i="24"/>
  <c r="L57" i="24" s="1"/>
  <c r="L84" i="24" s="1"/>
  <c r="L34" i="24"/>
  <c r="L62" i="24" s="1"/>
  <c r="L89" i="24" s="1"/>
  <c r="M20" i="24"/>
  <c r="M21" i="24"/>
  <c r="L35" i="24"/>
  <c r="L63" i="24" s="1"/>
  <c r="L90" i="24" s="1"/>
  <c r="I82" i="24"/>
  <c r="I65" i="24"/>
  <c r="I92" i="24" s="1"/>
  <c r="C10" i="22"/>
  <c r="G10" i="22"/>
  <c r="K10" i="22"/>
  <c r="E10" i="22"/>
  <c r="I10" i="22"/>
  <c r="D10" i="22"/>
  <c r="L10" i="22"/>
  <c r="F10" i="22"/>
  <c r="H10" i="22"/>
  <c r="J10" i="22"/>
  <c r="A10" i="23"/>
  <c r="A10" i="21" s="1"/>
  <c r="A11" i="22"/>
  <c r="M23" i="24"/>
  <c r="L37" i="24"/>
  <c r="D9" i="23"/>
  <c r="D9" i="21" s="1"/>
  <c r="F9" i="23"/>
  <c r="F9" i="21" s="1"/>
  <c r="K9" i="23"/>
  <c r="K9" i="21" s="1"/>
  <c r="C9" i="23"/>
  <c r="C9" i="21" s="1"/>
  <c r="I9" i="23"/>
  <c r="J9" i="23"/>
  <c r="J9" i="21" s="1"/>
  <c r="E9" i="23"/>
  <c r="E9" i="21" s="1"/>
  <c r="G9" i="23"/>
  <c r="G9" i="21" s="1"/>
  <c r="H9" i="23"/>
  <c r="H9" i="21" s="1"/>
  <c r="L9" i="23"/>
  <c r="L9" i="21" s="1"/>
  <c r="M8" i="21"/>
  <c r="A16" i="20"/>
  <c r="K15" i="20"/>
  <c r="I9" i="21"/>
  <c r="E94" i="19"/>
  <c r="E95" i="19" s="1"/>
  <c r="H66" i="19"/>
  <c r="I93" i="19"/>
  <c r="H93" i="19"/>
  <c r="H94" i="19" s="1"/>
  <c r="I66" i="19"/>
  <c r="M21" i="19"/>
  <c r="L35" i="19"/>
  <c r="L63" i="19" s="1"/>
  <c r="L90" i="19" s="1"/>
  <c r="F66" i="19"/>
  <c r="L30" i="19"/>
  <c r="L58" i="19" s="1"/>
  <c r="L85" i="19" s="1"/>
  <c r="M16" i="19"/>
  <c r="G8" i="16"/>
  <c r="L32" i="19"/>
  <c r="L60" i="19" s="1"/>
  <c r="L87" i="19" s="1"/>
  <c r="M18" i="19"/>
  <c r="M23" i="19"/>
  <c r="L37" i="19"/>
  <c r="M13" i="19"/>
  <c r="L27" i="19"/>
  <c r="D92" i="19"/>
  <c r="D93" i="19" s="1"/>
  <c r="D94" i="19" s="1"/>
  <c r="H8" i="17"/>
  <c r="H8" i="16" s="1"/>
  <c r="M15" i="19"/>
  <c r="L29" i="19"/>
  <c r="L57" i="19" s="1"/>
  <c r="M17" i="19"/>
  <c r="L31" i="19"/>
  <c r="L59" i="19" s="1"/>
  <c r="L86" i="19" s="1"/>
  <c r="L28" i="19"/>
  <c r="L56" i="19" s="1"/>
  <c r="L83" i="19" s="1"/>
  <c r="M14" i="19"/>
  <c r="K38" i="19"/>
  <c r="K55" i="19"/>
  <c r="E10" i="18"/>
  <c r="I10" i="18"/>
  <c r="D10" i="18"/>
  <c r="J10" i="18"/>
  <c r="F10" i="18"/>
  <c r="K10" i="18"/>
  <c r="G10" i="18"/>
  <c r="L10" i="18"/>
  <c r="C10" i="18"/>
  <c r="H10" i="18"/>
  <c r="L34" i="19"/>
  <c r="L62" i="19" s="1"/>
  <c r="L89" i="19" s="1"/>
  <c r="M20" i="19"/>
  <c r="C52" i="19"/>
  <c r="C92" i="19"/>
  <c r="C93" i="19" s="1"/>
  <c r="H7" i="17"/>
  <c r="G93" i="19"/>
  <c r="G94" i="19" s="1"/>
  <c r="J65" i="19"/>
  <c r="J92" i="19" s="1"/>
  <c r="J82" i="19"/>
  <c r="F93" i="19"/>
  <c r="F94" i="19" s="1"/>
  <c r="M19" i="19"/>
  <c r="L33" i="19"/>
  <c r="L61" i="19" s="1"/>
  <c r="L36" i="19"/>
  <c r="L64" i="19" s="1"/>
  <c r="L91" i="19" s="1"/>
  <c r="M22" i="19"/>
  <c r="M8" i="16"/>
  <c r="O8" i="16" s="1"/>
  <c r="P8" i="16" s="1"/>
  <c r="D10" i="17"/>
  <c r="H10" i="17"/>
  <c r="L10" i="17"/>
  <c r="C10" i="17"/>
  <c r="G10" i="17"/>
  <c r="K10" i="17"/>
  <c r="F10" i="17"/>
  <c r="A11" i="17"/>
  <c r="A11" i="18" s="1"/>
  <c r="I10" i="17"/>
  <c r="J10" i="17"/>
  <c r="E10" i="17"/>
  <c r="K9" i="16"/>
  <c r="H9" i="16"/>
  <c r="A10" i="16"/>
  <c r="A14" i="15" s="1"/>
  <c r="F9" i="16"/>
  <c r="G9" i="16"/>
  <c r="D9" i="16"/>
  <c r="I9" i="16"/>
  <c r="C9" i="16"/>
  <c r="N9" i="17"/>
  <c r="J9" i="16"/>
  <c r="E9" i="16"/>
  <c r="L9" i="16"/>
  <c r="W24" i="11"/>
  <c r="U29" i="11" s="1"/>
  <c r="X28" i="11" s="1"/>
  <c r="E17" i="14"/>
  <c r="E19" i="14" s="1"/>
  <c r="F13" i="14"/>
  <c r="F17" i="14" s="1"/>
  <c r="E9" i="14"/>
  <c r="F7" i="14"/>
  <c r="F9" i="14" s="1"/>
  <c r="F16" i="14"/>
  <c r="F18" i="14" s="1"/>
  <c r="E18" i="14"/>
  <c r="F8" i="14"/>
  <c r="E8" i="14"/>
  <c r="X52" i="11"/>
  <c r="C14" i="12"/>
  <c r="E17" i="12" s="1"/>
  <c r="F8" i="12"/>
  <c r="F7" i="12"/>
  <c r="F6" i="12"/>
  <c r="C3" i="12"/>
  <c r="C8" i="12" s="1"/>
  <c r="F10" i="14" l="1"/>
  <c r="N15" i="42"/>
  <c r="E96" i="19"/>
  <c r="E97" i="19" s="1"/>
  <c r="I66" i="24"/>
  <c r="H94" i="24"/>
  <c r="H96" i="24" s="1"/>
  <c r="H11" i="26"/>
  <c r="F94" i="34"/>
  <c r="F96" i="34" s="1"/>
  <c r="F9" i="12"/>
  <c r="E94" i="24"/>
  <c r="E96" i="24" s="1"/>
  <c r="K30" i="29"/>
  <c r="K58" i="29" s="1"/>
  <c r="K85" i="29" s="1"/>
  <c r="L16" i="29"/>
  <c r="E16" i="42"/>
  <c r="I16" i="42"/>
  <c r="A17" i="42"/>
  <c r="C16" i="42"/>
  <c r="G16" i="42"/>
  <c r="K16" i="42"/>
  <c r="D16" i="42"/>
  <c r="H16" i="42"/>
  <c r="L16" i="42"/>
  <c r="J16" i="42"/>
  <c r="F16" i="42"/>
  <c r="O15" i="35"/>
  <c r="P39" i="11"/>
  <c r="J38" i="11" s="1"/>
  <c r="K38" i="11" s="1"/>
  <c r="M13" i="36"/>
  <c r="O13" i="36" s="1"/>
  <c r="A15" i="38"/>
  <c r="D15" i="37"/>
  <c r="H15" i="37"/>
  <c r="L15" i="37"/>
  <c r="J15" i="37"/>
  <c r="E15" i="37"/>
  <c r="I15" i="37"/>
  <c r="F15" i="37"/>
  <c r="A16" i="37"/>
  <c r="K15" i="37"/>
  <c r="C15" i="37"/>
  <c r="G15" i="37"/>
  <c r="D14" i="38"/>
  <c r="D14" i="36" s="1"/>
  <c r="H14" i="38"/>
  <c r="H14" i="36" s="1"/>
  <c r="L14" i="38"/>
  <c r="E14" i="38"/>
  <c r="E14" i="36" s="1"/>
  <c r="I14" i="38"/>
  <c r="G14" i="38"/>
  <c r="G14" i="36" s="1"/>
  <c r="J14" i="38"/>
  <c r="J14" i="36" s="1"/>
  <c r="C14" i="38"/>
  <c r="K14" i="38"/>
  <c r="K14" i="36" s="1"/>
  <c r="A14" i="36"/>
  <c r="F14" i="38"/>
  <c r="F14" i="36" s="1"/>
  <c r="A19" i="35"/>
  <c r="K18" i="35"/>
  <c r="I14" i="36"/>
  <c r="L14" i="36"/>
  <c r="N14" i="37"/>
  <c r="C14" i="36"/>
  <c r="D16" i="35"/>
  <c r="M36" i="34"/>
  <c r="M64" i="34" s="1"/>
  <c r="M91" i="34" s="1"/>
  <c r="N22" i="34"/>
  <c r="N36" i="34" s="1"/>
  <c r="N64" i="34" s="1"/>
  <c r="N91" i="34" s="1"/>
  <c r="L16" i="34"/>
  <c r="K30" i="34"/>
  <c r="K58" i="34" s="1"/>
  <c r="K85" i="34" s="1"/>
  <c r="L15" i="34"/>
  <c r="K29" i="34"/>
  <c r="K57" i="34" s="1"/>
  <c r="K84" i="34" s="1"/>
  <c r="I38" i="34"/>
  <c r="I55" i="34"/>
  <c r="G92" i="34"/>
  <c r="H11" i="32"/>
  <c r="H11" i="31" s="1"/>
  <c r="H10" i="31"/>
  <c r="M10" i="31" s="1"/>
  <c r="J27" i="34"/>
  <c r="K13" i="34"/>
  <c r="K16" i="30"/>
  <c r="A17" i="30"/>
  <c r="L17" i="34"/>
  <c r="K31" i="34"/>
  <c r="K59" i="34" s="1"/>
  <c r="K86" i="34" s="1"/>
  <c r="M28" i="34"/>
  <c r="M56" i="34" s="1"/>
  <c r="M83" i="34" s="1"/>
  <c r="N14" i="34"/>
  <c r="N28" i="34" s="1"/>
  <c r="C13" i="33"/>
  <c r="G13" i="33"/>
  <c r="K13" i="33"/>
  <c r="K13" i="31" s="1"/>
  <c r="D13" i="33"/>
  <c r="D13" i="31" s="1"/>
  <c r="H13" i="33"/>
  <c r="L13" i="33"/>
  <c r="L13" i="31" s="1"/>
  <c r="E13" i="33"/>
  <c r="I13" i="33"/>
  <c r="I13" i="31" s="1"/>
  <c r="F13" i="33"/>
  <c r="J13" i="33"/>
  <c r="J13" i="31" s="1"/>
  <c r="A13" i="31"/>
  <c r="E14" i="32"/>
  <c r="F14" i="32"/>
  <c r="K14" i="32"/>
  <c r="L14" i="32"/>
  <c r="A14" i="33"/>
  <c r="C14" i="32"/>
  <c r="A15" i="32"/>
  <c r="J14" i="32"/>
  <c r="D14" i="32"/>
  <c r="I14" i="32"/>
  <c r="L18" i="34"/>
  <c r="K32" i="34"/>
  <c r="K60" i="34" s="1"/>
  <c r="K87" i="34" s="1"/>
  <c r="G11" i="31"/>
  <c r="M11" i="31" s="1"/>
  <c r="L20" i="34"/>
  <c r="K34" i="34"/>
  <c r="K62" i="34" s="1"/>
  <c r="K89" i="34" s="1"/>
  <c r="F8" i="30"/>
  <c r="D11" i="30"/>
  <c r="C13" i="31"/>
  <c r="H65" i="34"/>
  <c r="H66" i="34" s="1"/>
  <c r="H82" i="34"/>
  <c r="G12" i="32"/>
  <c r="F13" i="31"/>
  <c r="E13" i="31"/>
  <c r="L19" i="34"/>
  <c r="K33" i="34"/>
  <c r="K61" i="34" s="1"/>
  <c r="K88" i="34" s="1"/>
  <c r="L23" i="34"/>
  <c r="K37" i="34"/>
  <c r="G93" i="34"/>
  <c r="G94" i="34" s="1"/>
  <c r="G96" i="34" s="1"/>
  <c r="L21" i="34"/>
  <c r="K35" i="34"/>
  <c r="K63" i="34" s="1"/>
  <c r="K90" i="34" s="1"/>
  <c r="N15" i="29"/>
  <c r="M29" i="29"/>
  <c r="M57" i="29" s="1"/>
  <c r="N11" i="27"/>
  <c r="K36" i="29"/>
  <c r="K64" i="29" s="1"/>
  <c r="K91" i="29" s="1"/>
  <c r="L22" i="29"/>
  <c r="M17" i="29"/>
  <c r="L31" i="29"/>
  <c r="L59" i="29" s="1"/>
  <c r="L86" i="29" s="1"/>
  <c r="I83" i="29"/>
  <c r="I93" i="29" s="1"/>
  <c r="I65" i="29"/>
  <c r="I92" i="29" s="1"/>
  <c r="K28" i="29"/>
  <c r="L14" i="29"/>
  <c r="G94" i="29"/>
  <c r="K32" i="29"/>
  <c r="K60" i="29" s="1"/>
  <c r="K87" i="29" s="1"/>
  <c r="L18" i="29"/>
  <c r="K82" i="29"/>
  <c r="H12" i="27"/>
  <c r="N12" i="27" s="1"/>
  <c r="H66" i="29"/>
  <c r="M55" i="29"/>
  <c r="N20" i="29"/>
  <c r="M34" i="29"/>
  <c r="M62" i="29" s="1"/>
  <c r="M89" i="29" s="1"/>
  <c r="N21" i="29"/>
  <c r="M35" i="29"/>
  <c r="M63" i="29" s="1"/>
  <c r="M90" i="29" s="1"/>
  <c r="D12" i="28"/>
  <c r="C12" i="28"/>
  <c r="I12" i="28"/>
  <c r="I12" i="26" s="1"/>
  <c r="E12" i="28"/>
  <c r="E12" i="26" s="1"/>
  <c r="J12" i="28"/>
  <c r="K12" i="28"/>
  <c r="G12" i="28"/>
  <c r="G12" i="26" s="1"/>
  <c r="F12" i="28"/>
  <c r="F12" i="26" s="1"/>
  <c r="H12" i="28"/>
  <c r="L12" i="28"/>
  <c r="D13" i="27"/>
  <c r="J13" i="27"/>
  <c r="G13" i="27"/>
  <c r="A13" i="28"/>
  <c r="C13" i="27"/>
  <c r="K13" i="27"/>
  <c r="F13" i="27"/>
  <c r="A14" i="27"/>
  <c r="L13" i="27"/>
  <c r="E13" i="27"/>
  <c r="I13" i="27"/>
  <c r="H13" i="27"/>
  <c r="N19" i="29"/>
  <c r="M33" i="29"/>
  <c r="M61" i="29" s="1"/>
  <c r="H93" i="29"/>
  <c r="H94" i="29" s="1"/>
  <c r="J56" i="29"/>
  <c r="J38" i="29"/>
  <c r="L55" i="29"/>
  <c r="O10" i="26"/>
  <c r="D14" i="25" s="1"/>
  <c r="O14" i="25"/>
  <c r="M11" i="26"/>
  <c r="D12" i="25"/>
  <c r="A13" i="26"/>
  <c r="A17" i="25" s="1"/>
  <c r="K12" i="26"/>
  <c r="H12" i="26"/>
  <c r="C12" i="26"/>
  <c r="D12" i="26"/>
  <c r="L12" i="26"/>
  <c r="J12" i="26"/>
  <c r="N23" i="24"/>
  <c r="N37" i="24" s="1"/>
  <c r="M37" i="24"/>
  <c r="C94" i="24"/>
  <c r="C96" i="24" s="1"/>
  <c r="N19" i="24"/>
  <c r="N33" i="24" s="1"/>
  <c r="N61" i="24" s="1"/>
  <c r="N88" i="24" s="1"/>
  <c r="O88" i="24" s="1"/>
  <c r="M33" i="24"/>
  <c r="M61" i="24" s="1"/>
  <c r="M88" i="24" s="1"/>
  <c r="N17" i="24"/>
  <c r="N31" i="24" s="1"/>
  <c r="N59" i="24" s="1"/>
  <c r="N86" i="24" s="1"/>
  <c r="M31" i="24"/>
  <c r="M59" i="24" s="1"/>
  <c r="M86" i="24" s="1"/>
  <c r="O86" i="24" s="1"/>
  <c r="K82" i="24"/>
  <c r="K65" i="24"/>
  <c r="K92" i="24" s="1"/>
  <c r="N16" i="24"/>
  <c r="N30" i="24" s="1"/>
  <c r="N58" i="24" s="1"/>
  <c r="N85" i="24" s="1"/>
  <c r="M30" i="24"/>
  <c r="M58" i="24" s="1"/>
  <c r="M85" i="24" s="1"/>
  <c r="N10" i="22"/>
  <c r="H7" i="21"/>
  <c r="M7" i="21" s="1"/>
  <c r="C11" i="22"/>
  <c r="G11" i="22"/>
  <c r="K11" i="22"/>
  <c r="E11" i="22"/>
  <c r="I11" i="22"/>
  <c r="A11" i="23"/>
  <c r="H11" i="22"/>
  <c r="J11" i="22"/>
  <c r="D11" i="22"/>
  <c r="L11" i="22"/>
  <c r="F11" i="22"/>
  <c r="A12" i="22"/>
  <c r="I93" i="24"/>
  <c r="I94" i="24" s="1"/>
  <c r="I96" i="24" s="1"/>
  <c r="L55" i="24"/>
  <c r="L38" i="24"/>
  <c r="N18" i="24"/>
  <c r="N32" i="24" s="1"/>
  <c r="N60" i="24" s="1"/>
  <c r="N87" i="24" s="1"/>
  <c r="M32" i="24"/>
  <c r="M60" i="24" s="1"/>
  <c r="M87" i="24" s="1"/>
  <c r="O87" i="24" s="1"/>
  <c r="C10" i="23"/>
  <c r="H10" i="23"/>
  <c r="H10" i="21" s="1"/>
  <c r="D10" i="23"/>
  <c r="D10" i="21" s="1"/>
  <c r="L10" i="23"/>
  <c r="L10" i="21" s="1"/>
  <c r="F10" i="23"/>
  <c r="F10" i="21" s="1"/>
  <c r="J10" i="23"/>
  <c r="J10" i="21" s="1"/>
  <c r="K10" i="23"/>
  <c r="I10" i="23"/>
  <c r="I10" i="21" s="1"/>
  <c r="G10" i="23"/>
  <c r="E10" i="23"/>
  <c r="J66" i="24"/>
  <c r="N13" i="24"/>
  <c r="N27" i="24" s="1"/>
  <c r="M27" i="24"/>
  <c r="N21" i="24"/>
  <c r="N35" i="24" s="1"/>
  <c r="N63" i="24" s="1"/>
  <c r="N90" i="24" s="1"/>
  <c r="M35" i="24"/>
  <c r="M63" i="24" s="1"/>
  <c r="M90" i="24" s="1"/>
  <c r="O90" i="24" s="1"/>
  <c r="N15" i="24"/>
  <c r="N29" i="24" s="1"/>
  <c r="N57" i="24" s="1"/>
  <c r="N84" i="24" s="1"/>
  <c r="M29" i="24"/>
  <c r="M57" i="24" s="1"/>
  <c r="M84" i="24" s="1"/>
  <c r="N20" i="24"/>
  <c r="N34" i="24" s="1"/>
  <c r="N62" i="24" s="1"/>
  <c r="N89" i="24" s="1"/>
  <c r="O89" i="24" s="1"/>
  <c r="M34" i="24"/>
  <c r="M62" i="24" s="1"/>
  <c r="M89" i="24" s="1"/>
  <c r="N22" i="24"/>
  <c r="N36" i="24" s="1"/>
  <c r="N64" i="24" s="1"/>
  <c r="N91" i="24" s="1"/>
  <c r="O91" i="24" s="1"/>
  <c r="M36" i="24"/>
  <c r="M64" i="24" s="1"/>
  <c r="M91" i="24" s="1"/>
  <c r="N14" i="24"/>
  <c r="N28" i="24" s="1"/>
  <c r="N56" i="24" s="1"/>
  <c r="N83" i="24" s="1"/>
  <c r="M28" i="24"/>
  <c r="M56" i="24" s="1"/>
  <c r="M83" i="24" s="1"/>
  <c r="N7" i="22"/>
  <c r="J93" i="24"/>
  <c r="M9" i="21"/>
  <c r="O8" i="21"/>
  <c r="O9" i="20"/>
  <c r="A17" i="20"/>
  <c r="K16" i="20"/>
  <c r="A11" i="21"/>
  <c r="K10" i="21"/>
  <c r="G10" i="21"/>
  <c r="C10" i="21"/>
  <c r="E10" i="21"/>
  <c r="I94" i="19"/>
  <c r="D96" i="19"/>
  <c r="D97" i="19" s="1"/>
  <c r="D95" i="19"/>
  <c r="C94" i="19"/>
  <c r="N17" i="19"/>
  <c r="M31" i="19"/>
  <c r="M59" i="19" s="1"/>
  <c r="M86" i="19" s="1"/>
  <c r="N23" i="19"/>
  <c r="M37" i="19"/>
  <c r="N16" i="19"/>
  <c r="M30" i="19"/>
  <c r="M58" i="19" s="1"/>
  <c r="M85" i="19" s="1"/>
  <c r="N21" i="19"/>
  <c r="M35" i="19"/>
  <c r="M63" i="19" s="1"/>
  <c r="M90" i="19" s="1"/>
  <c r="N22" i="19"/>
  <c r="M36" i="19"/>
  <c r="M64" i="19" s="1"/>
  <c r="M91" i="19" s="1"/>
  <c r="F95" i="19"/>
  <c r="F96" i="19"/>
  <c r="F97" i="19" s="1"/>
  <c r="G95" i="19"/>
  <c r="G96" i="19"/>
  <c r="G97" i="19" s="1"/>
  <c r="N20" i="19"/>
  <c r="M34" i="19"/>
  <c r="M62" i="19" s="1"/>
  <c r="M89" i="19" s="1"/>
  <c r="K82" i="19"/>
  <c r="K65" i="19"/>
  <c r="K92" i="19" s="1"/>
  <c r="N14" i="19"/>
  <c r="M28" i="19"/>
  <c r="M56" i="19" s="1"/>
  <c r="M83" i="19" s="1"/>
  <c r="L55" i="19"/>
  <c r="L38" i="19"/>
  <c r="N18" i="19"/>
  <c r="M32" i="19"/>
  <c r="M60" i="19" s="1"/>
  <c r="M87" i="19" s="1"/>
  <c r="E11" i="18"/>
  <c r="J11" i="18"/>
  <c r="F11" i="18"/>
  <c r="D11" i="18"/>
  <c r="G11" i="18"/>
  <c r="C11" i="18"/>
  <c r="L11" i="18"/>
  <c r="I11" i="18"/>
  <c r="H11" i="18"/>
  <c r="K11" i="18"/>
  <c r="N19" i="19"/>
  <c r="M33" i="19"/>
  <c r="M61" i="19" s="1"/>
  <c r="H95" i="19"/>
  <c r="H96" i="19"/>
  <c r="H97" i="19" s="1"/>
  <c r="A11" i="16"/>
  <c r="A15" i="15" s="1"/>
  <c r="J66" i="19"/>
  <c r="H7" i="16"/>
  <c r="M7" i="16" s="1"/>
  <c r="N7" i="17"/>
  <c r="N15" i="19"/>
  <c r="M29" i="19"/>
  <c r="M57" i="19" s="1"/>
  <c r="N13" i="19"/>
  <c r="M27" i="19"/>
  <c r="N8" i="17"/>
  <c r="J93" i="19"/>
  <c r="J94" i="19" s="1"/>
  <c r="O9" i="15"/>
  <c r="K10" i="16"/>
  <c r="D10" i="16"/>
  <c r="N10" i="17"/>
  <c r="D9" i="15"/>
  <c r="M9" i="16"/>
  <c r="E10" i="16"/>
  <c r="L10" i="16"/>
  <c r="J10" i="16"/>
  <c r="F10" i="16"/>
  <c r="I10" i="16"/>
  <c r="C10" i="16"/>
  <c r="G10" i="16"/>
  <c r="H10" i="16"/>
  <c r="D11" i="17"/>
  <c r="H11" i="17"/>
  <c r="L11" i="17"/>
  <c r="C11" i="17"/>
  <c r="G11" i="17"/>
  <c r="K11" i="17"/>
  <c r="J11" i="17"/>
  <c r="F11" i="17"/>
  <c r="A12" i="17"/>
  <c r="A12" i="18" s="1"/>
  <c r="A12" i="16" s="1"/>
  <c r="A16" i="15" s="1"/>
  <c r="I11" i="17"/>
  <c r="E11" i="17"/>
  <c r="X25" i="11"/>
  <c r="E10" i="14"/>
  <c r="E20" i="14" s="1"/>
  <c r="F19" i="14"/>
  <c r="F20" i="14" s="1"/>
  <c r="C6" i="12"/>
  <c r="E7" i="12"/>
  <c r="AA55" i="11" s="1"/>
  <c r="C17" i="12"/>
  <c r="F19" i="12" s="1"/>
  <c r="E6" i="12"/>
  <c r="C7" i="12"/>
  <c r="AA28" i="11" s="1"/>
  <c r="E8" i="12"/>
  <c r="N13" i="27" l="1"/>
  <c r="N16" i="42"/>
  <c r="L30" i="29"/>
  <c r="L58" i="29" s="1"/>
  <c r="L85" i="29" s="1"/>
  <c r="M16" i="29"/>
  <c r="F17" i="42"/>
  <c r="J17" i="42"/>
  <c r="D17" i="42"/>
  <c r="H17" i="42"/>
  <c r="L17" i="42"/>
  <c r="E17" i="42"/>
  <c r="I17" i="42"/>
  <c r="A18" i="42"/>
  <c r="C17" i="42"/>
  <c r="G17" i="42"/>
  <c r="K17" i="42"/>
  <c r="O85" i="24"/>
  <c r="O16" i="35"/>
  <c r="F10" i="12"/>
  <c r="H11" i="16"/>
  <c r="Q39" i="11"/>
  <c r="P12" i="11"/>
  <c r="J11" i="11" s="1"/>
  <c r="K11" i="11" s="1"/>
  <c r="M14" i="36"/>
  <c r="O14" i="36" s="1"/>
  <c r="O17" i="35"/>
  <c r="D17" i="35"/>
  <c r="N15" i="37"/>
  <c r="A20" i="35"/>
  <c r="K19" i="35"/>
  <c r="A16" i="38"/>
  <c r="D16" i="37"/>
  <c r="H16" i="37"/>
  <c r="L16" i="37"/>
  <c r="F16" i="37"/>
  <c r="J16" i="37"/>
  <c r="A17" i="37"/>
  <c r="E16" i="37"/>
  <c r="I16" i="37"/>
  <c r="C16" i="37"/>
  <c r="G16" i="37"/>
  <c r="K16" i="37"/>
  <c r="E15" i="38"/>
  <c r="E15" i="36" s="1"/>
  <c r="I15" i="38"/>
  <c r="I15" i="36" s="1"/>
  <c r="F15" i="38"/>
  <c r="F15" i="36" s="1"/>
  <c r="J15" i="38"/>
  <c r="J15" i="36" s="1"/>
  <c r="D15" i="38"/>
  <c r="D15" i="36" s="1"/>
  <c r="L15" i="38"/>
  <c r="L15" i="36" s="1"/>
  <c r="G15" i="38"/>
  <c r="G15" i="36" s="1"/>
  <c r="C15" i="38"/>
  <c r="C15" i="36" s="1"/>
  <c r="H15" i="38"/>
  <c r="H15" i="36" s="1"/>
  <c r="K15" i="38"/>
  <c r="K15" i="36" s="1"/>
  <c r="A15" i="36"/>
  <c r="O13" i="30"/>
  <c r="O10" i="31"/>
  <c r="D13" i="30" s="1"/>
  <c r="F13" i="30" s="1"/>
  <c r="O11" i="31"/>
  <c r="D14" i="30" s="1"/>
  <c r="F14" i="30" s="1"/>
  <c r="O14" i="30"/>
  <c r="N56" i="34"/>
  <c r="L13" i="34"/>
  <c r="K27" i="34"/>
  <c r="L35" i="34"/>
  <c r="L63" i="34" s="1"/>
  <c r="L90" i="34" s="1"/>
  <c r="M21" i="34"/>
  <c r="M23" i="34"/>
  <c r="M37" i="34" s="1"/>
  <c r="L37" i="34"/>
  <c r="M20" i="34"/>
  <c r="L34" i="34"/>
  <c r="L62" i="34" s="1"/>
  <c r="L89" i="34" s="1"/>
  <c r="J38" i="34"/>
  <c r="J55" i="34"/>
  <c r="M16" i="34"/>
  <c r="L30" i="34"/>
  <c r="L58" i="34" s="1"/>
  <c r="L85" i="34" s="1"/>
  <c r="E15" i="32"/>
  <c r="D15" i="32"/>
  <c r="J15" i="32"/>
  <c r="A15" i="33"/>
  <c r="F15" i="32"/>
  <c r="K15" i="32"/>
  <c r="L15" i="32"/>
  <c r="C15" i="32"/>
  <c r="A16" i="32"/>
  <c r="I15" i="32"/>
  <c r="I82" i="34"/>
  <c r="I65" i="34"/>
  <c r="I66" i="34" s="1"/>
  <c r="G13" i="32"/>
  <c r="H92" i="34"/>
  <c r="H93" i="34" s="1"/>
  <c r="H94" i="34" s="1"/>
  <c r="H96" i="34" s="1"/>
  <c r="H12" i="32"/>
  <c r="H12" i="31" s="1"/>
  <c r="K17" i="30"/>
  <c r="A18" i="30"/>
  <c r="M19" i="34"/>
  <c r="L33" i="34"/>
  <c r="L61" i="34" s="1"/>
  <c r="L88" i="34" s="1"/>
  <c r="G12" i="31"/>
  <c r="N11" i="32"/>
  <c r="M18" i="34"/>
  <c r="L32" i="34"/>
  <c r="L60" i="34" s="1"/>
  <c r="L87" i="34" s="1"/>
  <c r="J14" i="31"/>
  <c r="C14" i="33"/>
  <c r="C14" i="31" s="1"/>
  <c r="J14" i="33"/>
  <c r="F14" i="33"/>
  <c r="F14" i="31" s="1"/>
  <c r="L14" i="33"/>
  <c r="L14" i="31" s="1"/>
  <c r="K14" i="33"/>
  <c r="K14" i="31" s="1"/>
  <c r="E14" i="33"/>
  <c r="E14" i="31" s="1"/>
  <c r="I14" i="33"/>
  <c r="I14" i="31" s="1"/>
  <c r="H14" i="33"/>
  <c r="G14" i="33"/>
  <c r="D14" i="33"/>
  <c r="D14" i="31" s="1"/>
  <c r="A14" i="31"/>
  <c r="L31" i="34"/>
  <c r="L59" i="34" s="1"/>
  <c r="L86" i="34" s="1"/>
  <c r="M17" i="34"/>
  <c r="M15" i="34"/>
  <c r="L29" i="34"/>
  <c r="L57" i="34" s="1"/>
  <c r="L84" i="34" s="1"/>
  <c r="O91" i="34"/>
  <c r="M82" i="29"/>
  <c r="N33" i="29"/>
  <c r="N61" i="29" s="1"/>
  <c r="T75" i="29"/>
  <c r="U75" i="29" s="1"/>
  <c r="N35" i="29"/>
  <c r="N63" i="29" s="1"/>
  <c r="N90" i="29" s="1"/>
  <c r="T77" i="29"/>
  <c r="U77" i="29" s="1"/>
  <c r="J83" i="29"/>
  <c r="J65" i="29"/>
  <c r="J92" i="29" s="1"/>
  <c r="D14" i="27"/>
  <c r="F14" i="27"/>
  <c r="A15" i="27"/>
  <c r="G14" i="27"/>
  <c r="C14" i="27"/>
  <c r="K14" i="27"/>
  <c r="A14" i="28"/>
  <c r="A14" i="26" s="1"/>
  <c r="A18" i="25" s="1"/>
  <c r="J14" i="27"/>
  <c r="E14" i="27"/>
  <c r="L14" i="27"/>
  <c r="I14" i="27"/>
  <c r="H14" i="27"/>
  <c r="C13" i="28"/>
  <c r="F13" i="28"/>
  <c r="F13" i="26" s="1"/>
  <c r="J13" i="28"/>
  <c r="J13" i="26" s="1"/>
  <c r="I13" i="28"/>
  <c r="H13" i="28"/>
  <c r="K13" i="28"/>
  <c r="K13" i="26" s="1"/>
  <c r="E13" i="28"/>
  <c r="E13" i="26" s="1"/>
  <c r="D13" i="28"/>
  <c r="D13" i="26" s="1"/>
  <c r="G13" i="28"/>
  <c r="L13" i="28"/>
  <c r="G95" i="29"/>
  <c r="G96" i="29"/>
  <c r="G97" i="29" s="1"/>
  <c r="N29" i="29"/>
  <c r="N57" i="29" s="1"/>
  <c r="T71" i="29"/>
  <c r="U71" i="29" s="1"/>
  <c r="K56" i="29"/>
  <c r="K38" i="29"/>
  <c r="L82" i="29"/>
  <c r="H95" i="29"/>
  <c r="H96" i="29"/>
  <c r="H97" i="29" s="1"/>
  <c r="N34" i="29"/>
  <c r="N62" i="29" s="1"/>
  <c r="N89" i="29" s="1"/>
  <c r="T76" i="29"/>
  <c r="U76" i="29" s="1"/>
  <c r="M18" i="29"/>
  <c r="L32" i="29"/>
  <c r="L60" i="29" s="1"/>
  <c r="L87" i="29" s="1"/>
  <c r="M14" i="29"/>
  <c r="L28" i="29"/>
  <c r="I66" i="29"/>
  <c r="I94" i="29" s="1"/>
  <c r="N17" i="29"/>
  <c r="M31" i="29"/>
  <c r="M59" i="29" s="1"/>
  <c r="M86" i="29" s="1"/>
  <c r="M22" i="29"/>
  <c r="L36" i="29"/>
  <c r="L64" i="29" s="1"/>
  <c r="L91" i="29" s="1"/>
  <c r="F14" i="25"/>
  <c r="F12" i="25"/>
  <c r="O11" i="26"/>
  <c r="D15" i="25" s="1"/>
  <c r="F15" i="25" s="1"/>
  <c r="O15" i="25"/>
  <c r="M12" i="26"/>
  <c r="C13" i="26"/>
  <c r="L13" i="26"/>
  <c r="H13" i="26"/>
  <c r="I13" i="26"/>
  <c r="G13" i="26"/>
  <c r="O8" i="20"/>
  <c r="O7" i="21"/>
  <c r="N11" i="22"/>
  <c r="O84" i="24"/>
  <c r="C12" i="22"/>
  <c r="G12" i="22"/>
  <c r="K12" i="22"/>
  <c r="A12" i="23"/>
  <c r="E12" i="22"/>
  <c r="I12" i="22"/>
  <c r="D12" i="22"/>
  <c r="L12" i="22"/>
  <c r="F12" i="22"/>
  <c r="A13" i="22"/>
  <c r="H12" i="22"/>
  <c r="J12" i="22"/>
  <c r="J94" i="24"/>
  <c r="J96" i="24" s="1"/>
  <c r="O83" i="24"/>
  <c r="C11" i="23"/>
  <c r="C11" i="21" s="1"/>
  <c r="G11" i="23"/>
  <c r="K11" i="23"/>
  <c r="K11" i="21" s="1"/>
  <c r="E11" i="23"/>
  <c r="I11" i="23"/>
  <c r="I11" i="21" s="1"/>
  <c r="J11" i="23"/>
  <c r="L11" i="23"/>
  <c r="L11" i="21" s="1"/>
  <c r="F11" i="23"/>
  <c r="F11" i="21" s="1"/>
  <c r="H11" i="23"/>
  <c r="H11" i="21" s="1"/>
  <c r="D11" i="23"/>
  <c r="K66" i="24"/>
  <c r="K93" i="24"/>
  <c r="K94" i="24" s="1"/>
  <c r="K96" i="24" s="1"/>
  <c r="M38" i="24"/>
  <c r="M55" i="24"/>
  <c r="N55" i="24"/>
  <c r="N38" i="24"/>
  <c r="L65" i="24"/>
  <c r="L92" i="24" s="1"/>
  <c r="L82" i="24"/>
  <c r="O9" i="21"/>
  <c r="O10" i="20"/>
  <c r="M10" i="21"/>
  <c r="P8" i="21"/>
  <c r="D9" i="20"/>
  <c r="F9" i="20" s="1"/>
  <c r="A18" i="20"/>
  <c r="K17" i="20"/>
  <c r="A12" i="21"/>
  <c r="E11" i="21"/>
  <c r="D11" i="21"/>
  <c r="J11" i="21"/>
  <c r="G11" i="21"/>
  <c r="I95" i="19"/>
  <c r="I96" i="19"/>
  <c r="I97" i="19" s="1"/>
  <c r="M38" i="19"/>
  <c r="M55" i="19"/>
  <c r="K66" i="19"/>
  <c r="N34" i="19"/>
  <c r="N62" i="19" s="1"/>
  <c r="N89" i="19" s="1"/>
  <c r="T76" i="19"/>
  <c r="U76" i="19" s="1"/>
  <c r="N35" i="19"/>
  <c r="N63" i="19" s="1"/>
  <c r="N90" i="19" s="1"/>
  <c r="T77" i="19"/>
  <c r="U77" i="19" s="1"/>
  <c r="N37" i="19"/>
  <c r="T79" i="19"/>
  <c r="U79" i="19" s="1"/>
  <c r="C95" i="19"/>
  <c r="C96" i="19"/>
  <c r="C97" i="19" s="1"/>
  <c r="D12" i="18"/>
  <c r="C12" i="18"/>
  <c r="I12" i="18"/>
  <c r="G12" i="18"/>
  <c r="J12" i="18"/>
  <c r="E12" i="18"/>
  <c r="K12" i="18"/>
  <c r="F12" i="18"/>
  <c r="H12" i="18"/>
  <c r="L12" i="18"/>
  <c r="T75" i="19"/>
  <c r="U75" i="19" s="1"/>
  <c r="N33" i="19"/>
  <c r="N61" i="19" s="1"/>
  <c r="N32" i="19"/>
  <c r="N60" i="19" s="1"/>
  <c r="N87" i="19" s="1"/>
  <c r="T74" i="19"/>
  <c r="U74" i="19" s="1"/>
  <c r="T80" i="19"/>
  <c r="N27" i="19"/>
  <c r="T69" i="19"/>
  <c r="U69" i="19" s="1"/>
  <c r="O7" i="16"/>
  <c r="O8" i="15"/>
  <c r="L65" i="19"/>
  <c r="L92" i="19" s="1"/>
  <c r="L82" i="19"/>
  <c r="N29" i="19"/>
  <c r="N57" i="19" s="1"/>
  <c r="T71" i="19"/>
  <c r="U71" i="19" s="1"/>
  <c r="N28" i="19"/>
  <c r="N56" i="19" s="1"/>
  <c r="N83" i="19" s="1"/>
  <c r="T70" i="19"/>
  <c r="U70" i="19" s="1"/>
  <c r="J95" i="19"/>
  <c r="J96" i="19"/>
  <c r="J97" i="19" s="1"/>
  <c r="K93" i="19"/>
  <c r="N36" i="19"/>
  <c r="N64" i="19" s="1"/>
  <c r="N91" i="19" s="1"/>
  <c r="T78" i="19"/>
  <c r="U78" i="19" s="1"/>
  <c r="N30" i="19"/>
  <c r="N58" i="19" s="1"/>
  <c r="N85" i="19" s="1"/>
  <c r="T72" i="19"/>
  <c r="U72" i="19" s="1"/>
  <c r="N31" i="19"/>
  <c r="N59" i="19" s="1"/>
  <c r="N86" i="19" s="1"/>
  <c r="T73" i="19"/>
  <c r="U73" i="19" s="1"/>
  <c r="M10" i="16"/>
  <c r="F11" i="16"/>
  <c r="I11" i="16"/>
  <c r="K11" i="16"/>
  <c r="D12" i="17"/>
  <c r="H12" i="17"/>
  <c r="L12" i="17"/>
  <c r="C12" i="17"/>
  <c r="G12" i="17"/>
  <c r="K12" i="17"/>
  <c r="K12" i="16" s="1"/>
  <c r="F12" i="17"/>
  <c r="A13" i="17"/>
  <c r="A13" i="18" s="1"/>
  <c r="I12" i="17"/>
  <c r="J12" i="17"/>
  <c r="E12" i="17"/>
  <c r="G11" i="16"/>
  <c r="D11" i="16"/>
  <c r="O9" i="16"/>
  <c r="O10" i="15"/>
  <c r="C11" i="16"/>
  <c r="N11" i="17"/>
  <c r="F9" i="15"/>
  <c r="E11" i="16"/>
  <c r="J11" i="16"/>
  <c r="L11" i="16"/>
  <c r="A13" i="16"/>
  <c r="A17" i="15" s="1"/>
  <c r="AA39" i="11"/>
  <c r="AA38" i="11"/>
  <c r="AA12" i="11"/>
  <c r="AA11" i="11"/>
  <c r="Y50" i="11"/>
  <c r="Y39" i="11"/>
  <c r="Y38" i="11"/>
  <c r="Y37" i="11"/>
  <c r="AV55" i="11"/>
  <c r="AP55" i="11"/>
  <c r="AG55" i="11"/>
  <c r="AW50" i="11"/>
  <c r="AQ50" i="11"/>
  <c r="AO50" i="11"/>
  <c r="AK50" i="11"/>
  <c r="AI50" i="11"/>
  <c r="AE50" i="11"/>
  <c r="BA42" i="11"/>
  <c r="BA50" i="11" s="1"/>
  <c r="AU42" i="11"/>
  <c r="AU50" i="11" s="1"/>
  <c r="AO42" i="11"/>
  <c r="AI42" i="11"/>
  <c r="AZ39" i="11"/>
  <c r="AT38" i="11" s="1"/>
  <c r="AY39" i="11"/>
  <c r="AW39" i="11"/>
  <c r="AS39" i="11"/>
  <c r="AQ39" i="11"/>
  <c r="AM39" i="11"/>
  <c r="AK39" i="11"/>
  <c r="AG39" i="11"/>
  <c r="AE39" i="11"/>
  <c r="AZ38" i="11"/>
  <c r="AY38" i="11"/>
  <c r="AW38" i="11"/>
  <c r="AS38" i="11"/>
  <c r="AQ38" i="11"/>
  <c r="AM38" i="11"/>
  <c r="AK38" i="11"/>
  <c r="AG38" i="11"/>
  <c r="AE38" i="11"/>
  <c r="AW37" i="11"/>
  <c r="AQ37" i="11"/>
  <c r="AK37" i="11"/>
  <c r="AE37" i="11"/>
  <c r="AV28" i="11"/>
  <c r="AP28" i="11"/>
  <c r="AJ28" i="11"/>
  <c r="AG28" i="11"/>
  <c r="AO23" i="11"/>
  <c r="AI23" i="11"/>
  <c r="BA15" i="11"/>
  <c r="AU15" i="11"/>
  <c r="AO15" i="11"/>
  <c r="AI15" i="11"/>
  <c r="AZ12" i="11"/>
  <c r="AY12" i="11"/>
  <c r="AS12" i="11"/>
  <c r="AM12" i="11"/>
  <c r="AG12" i="11"/>
  <c r="AZ11" i="11"/>
  <c r="AY11" i="11"/>
  <c r="AS11" i="11"/>
  <c r="AM11" i="11"/>
  <c r="AG11" i="11"/>
  <c r="AQ1" i="11"/>
  <c r="AW1" i="11" s="1"/>
  <c r="C18" i="42" l="1"/>
  <c r="G18" i="42"/>
  <c r="G20" i="42" s="1"/>
  <c r="K18" i="42"/>
  <c r="K20" i="42" s="1"/>
  <c r="E18" i="42"/>
  <c r="E20" i="42" s="1"/>
  <c r="I18" i="42"/>
  <c r="I20" i="42" s="1"/>
  <c r="F18" i="42"/>
  <c r="F20" i="42" s="1"/>
  <c r="J18" i="42"/>
  <c r="J20" i="42" s="1"/>
  <c r="D18" i="42"/>
  <c r="D20" i="42" s="1"/>
  <c r="H18" i="42"/>
  <c r="H20" i="42" s="1"/>
  <c r="L18" i="42"/>
  <c r="L20" i="42" s="1"/>
  <c r="N16" i="29"/>
  <c r="M30" i="29"/>
  <c r="M58" i="29" s="1"/>
  <c r="M85" i="29" s="1"/>
  <c r="L93" i="24"/>
  <c r="L94" i="24" s="1"/>
  <c r="L96" i="24" s="1"/>
  <c r="L66" i="24"/>
  <c r="J66" i="29"/>
  <c r="N17" i="42"/>
  <c r="Q12" i="11"/>
  <c r="H12" i="16"/>
  <c r="N12" i="32"/>
  <c r="M12" i="31"/>
  <c r="M15" i="36"/>
  <c r="O15" i="36" s="1"/>
  <c r="N16" i="37"/>
  <c r="F16" i="38"/>
  <c r="F16" i="36" s="1"/>
  <c r="J16" i="38"/>
  <c r="J16" i="36" s="1"/>
  <c r="C16" i="38"/>
  <c r="C16" i="36" s="1"/>
  <c r="G16" i="38"/>
  <c r="K16" i="38"/>
  <c r="I16" i="38"/>
  <c r="I16" i="36" s="1"/>
  <c r="D16" i="38"/>
  <c r="D16" i="36" s="1"/>
  <c r="L16" i="38"/>
  <c r="H16" i="38"/>
  <c r="E16" i="38"/>
  <c r="A16" i="36"/>
  <c r="O18" i="35"/>
  <c r="K16" i="36"/>
  <c r="E16" i="36"/>
  <c r="L16" i="36"/>
  <c r="D18" i="35"/>
  <c r="G16" i="36"/>
  <c r="F17" i="37"/>
  <c r="D17" i="37"/>
  <c r="H17" i="37"/>
  <c r="L17" i="37"/>
  <c r="A17" i="38"/>
  <c r="E17" i="37"/>
  <c r="I17" i="37"/>
  <c r="J17" i="37"/>
  <c r="A18" i="37"/>
  <c r="G17" i="37"/>
  <c r="K17" i="37"/>
  <c r="C17" i="37"/>
  <c r="H16" i="36"/>
  <c r="K20" i="35"/>
  <c r="A21" i="35"/>
  <c r="E16" i="32"/>
  <c r="C16" i="32"/>
  <c r="A17" i="32"/>
  <c r="D16" i="32"/>
  <c r="J16" i="32"/>
  <c r="F16" i="32"/>
  <c r="K16" i="32"/>
  <c r="L16" i="32"/>
  <c r="A16" i="33"/>
  <c r="I16" i="32"/>
  <c r="K38" i="34"/>
  <c r="K55" i="34"/>
  <c r="N17" i="34"/>
  <c r="N31" i="34" s="1"/>
  <c r="N59" i="34" s="1"/>
  <c r="N86" i="34" s="1"/>
  <c r="M31" i="34"/>
  <c r="M59" i="34" s="1"/>
  <c r="M86" i="34" s="1"/>
  <c r="A19" i="30"/>
  <c r="K18" i="30"/>
  <c r="M13" i="34"/>
  <c r="M27" i="34" s="1"/>
  <c r="L27" i="34"/>
  <c r="M29" i="34"/>
  <c r="M57" i="34" s="1"/>
  <c r="M84" i="34" s="1"/>
  <c r="N15" i="34"/>
  <c r="N29" i="34" s="1"/>
  <c r="M30" i="34"/>
  <c r="M58" i="34" s="1"/>
  <c r="M85" i="34" s="1"/>
  <c r="N16" i="34"/>
  <c r="N30" i="34" s="1"/>
  <c r="N58" i="34" s="1"/>
  <c r="N85" i="34" s="1"/>
  <c r="O85" i="34" s="1"/>
  <c r="M32" i="34"/>
  <c r="M60" i="34" s="1"/>
  <c r="M87" i="34" s="1"/>
  <c r="N18" i="34"/>
  <c r="N32" i="34" s="1"/>
  <c r="N60" i="34" s="1"/>
  <c r="N87" i="34" s="1"/>
  <c r="O15" i="30"/>
  <c r="O12" i="31"/>
  <c r="D15" i="30" s="1"/>
  <c r="F15" i="30" s="1"/>
  <c r="J65" i="34"/>
  <c r="J66" i="34" s="1"/>
  <c r="J82" i="34"/>
  <c r="G14" i="32"/>
  <c r="N21" i="34"/>
  <c r="N35" i="34" s="1"/>
  <c r="N63" i="34" s="1"/>
  <c r="N90" i="34" s="1"/>
  <c r="M35" i="34"/>
  <c r="M63" i="34" s="1"/>
  <c r="M90" i="34" s="1"/>
  <c r="N83" i="34"/>
  <c r="M33" i="34"/>
  <c r="M61" i="34" s="1"/>
  <c r="M88" i="34" s="1"/>
  <c r="N19" i="34"/>
  <c r="N33" i="34" s="1"/>
  <c r="N61" i="34" s="1"/>
  <c r="N88" i="34" s="1"/>
  <c r="I92" i="34"/>
  <c r="I93" i="34" s="1"/>
  <c r="H13" i="32"/>
  <c r="G13" i="31"/>
  <c r="D15" i="33"/>
  <c r="D15" i="31" s="1"/>
  <c r="G15" i="33"/>
  <c r="J15" i="33"/>
  <c r="J15" i="31" s="1"/>
  <c r="C15" i="33"/>
  <c r="C15" i="31" s="1"/>
  <c r="K15" i="33"/>
  <c r="K15" i="31" s="1"/>
  <c r="F15" i="33"/>
  <c r="F15" i="31" s="1"/>
  <c r="E15" i="33"/>
  <c r="E15" i="31" s="1"/>
  <c r="H15" i="33"/>
  <c r="I15" i="33"/>
  <c r="I15" i="31" s="1"/>
  <c r="L15" i="33"/>
  <c r="L15" i="31" s="1"/>
  <c r="A15" i="31"/>
  <c r="M34" i="34"/>
  <c r="M62" i="34" s="1"/>
  <c r="M89" i="34" s="1"/>
  <c r="N20" i="34"/>
  <c r="N34" i="34" s="1"/>
  <c r="N62" i="34" s="1"/>
  <c r="N89" i="34" s="1"/>
  <c r="O89" i="34" s="1"/>
  <c r="I95" i="29"/>
  <c r="I96" i="29"/>
  <c r="I97" i="29" s="1"/>
  <c r="N31" i="29"/>
  <c r="N59" i="29" s="1"/>
  <c r="N86" i="29" s="1"/>
  <c r="T73" i="29"/>
  <c r="U73" i="29" s="1"/>
  <c r="D14" i="28"/>
  <c r="D14" i="26" s="1"/>
  <c r="H14" i="28"/>
  <c r="H14" i="26" s="1"/>
  <c r="L14" i="28"/>
  <c r="E14" i="28"/>
  <c r="E14" i="26" s="1"/>
  <c r="J14" i="28"/>
  <c r="C14" i="28"/>
  <c r="C14" i="26" s="1"/>
  <c r="F14" i="28"/>
  <c r="K14" i="28"/>
  <c r="I14" i="28"/>
  <c r="I14" i="26" s="1"/>
  <c r="G14" i="28"/>
  <c r="G14" i="26" s="1"/>
  <c r="D15" i="27"/>
  <c r="J15" i="27"/>
  <c r="C15" i="27"/>
  <c r="K15" i="27"/>
  <c r="G15" i="27"/>
  <c r="A15" i="28"/>
  <c r="F15" i="27"/>
  <c r="A16" i="27"/>
  <c r="L15" i="27"/>
  <c r="I15" i="27"/>
  <c r="E15" i="27"/>
  <c r="N14" i="29"/>
  <c r="M28" i="29"/>
  <c r="K83" i="29"/>
  <c r="K65" i="29"/>
  <c r="K92" i="29" s="1"/>
  <c r="N18" i="29"/>
  <c r="M32" i="29"/>
  <c r="M60" i="29" s="1"/>
  <c r="M87" i="29" s="1"/>
  <c r="J93" i="29"/>
  <c r="J94" i="29" s="1"/>
  <c r="N22" i="29"/>
  <c r="M36" i="29"/>
  <c r="M64" i="29" s="1"/>
  <c r="M91" i="29" s="1"/>
  <c r="L56" i="29"/>
  <c r="L38" i="29"/>
  <c r="N14" i="27"/>
  <c r="M13" i="26"/>
  <c r="O12" i="26"/>
  <c r="D16" i="25" s="1"/>
  <c r="F16" i="25" s="1"/>
  <c r="O16" i="25"/>
  <c r="A15" i="26"/>
  <c r="A19" i="25" s="1"/>
  <c r="F14" i="26"/>
  <c r="J14" i="26"/>
  <c r="L14" i="26"/>
  <c r="K14" i="26"/>
  <c r="N65" i="24"/>
  <c r="N92" i="24" s="1"/>
  <c r="N66" i="24"/>
  <c r="N82" i="24"/>
  <c r="N93" i="24" s="1"/>
  <c r="N94" i="24" s="1"/>
  <c r="N96" i="24" s="1"/>
  <c r="C13" i="22"/>
  <c r="G13" i="22"/>
  <c r="K13" i="22"/>
  <c r="E13" i="22"/>
  <c r="I13" i="22"/>
  <c r="H13" i="22"/>
  <c r="D13" i="22"/>
  <c r="L13" i="22"/>
  <c r="A13" i="23"/>
  <c r="F13" i="22"/>
  <c r="A14" i="22"/>
  <c r="J13" i="22"/>
  <c r="E12" i="23"/>
  <c r="E12" i="21" s="1"/>
  <c r="J12" i="23"/>
  <c r="J12" i="21" s="1"/>
  <c r="F12" i="23"/>
  <c r="C12" i="23"/>
  <c r="C12" i="21" s="1"/>
  <c r="L12" i="23"/>
  <c r="L12" i="21" s="1"/>
  <c r="H12" i="23"/>
  <c r="H12" i="21" s="1"/>
  <c r="K12" i="23"/>
  <c r="D12" i="23"/>
  <c r="G12" i="23"/>
  <c r="G12" i="21" s="1"/>
  <c r="I12" i="23"/>
  <c r="I12" i="21" s="1"/>
  <c r="D8" i="20"/>
  <c r="F8" i="20" s="1"/>
  <c r="P7" i="21"/>
  <c r="M82" i="24"/>
  <c r="M65" i="24"/>
  <c r="M92" i="24" s="1"/>
  <c r="O92" i="24" s="1"/>
  <c r="N12" i="22"/>
  <c r="M11" i="21"/>
  <c r="P9" i="21"/>
  <c r="D10" i="20"/>
  <c r="F10" i="20" s="1"/>
  <c r="O10" i="21"/>
  <c r="O13" i="20"/>
  <c r="A19" i="20"/>
  <c r="K18" i="20"/>
  <c r="K12" i="21"/>
  <c r="F12" i="21"/>
  <c r="D12" i="21"/>
  <c r="A13" i="21"/>
  <c r="L93" i="19"/>
  <c r="K94" i="19"/>
  <c r="N55" i="19"/>
  <c r="N38" i="19"/>
  <c r="C13" i="18"/>
  <c r="D13" i="18"/>
  <c r="L13" i="18"/>
  <c r="F13" i="18"/>
  <c r="H13" i="18"/>
  <c r="J13" i="18"/>
  <c r="E13" i="18"/>
  <c r="K13" i="18"/>
  <c r="I13" i="18"/>
  <c r="G13" i="18"/>
  <c r="T82" i="19"/>
  <c r="T85" i="19" s="1"/>
  <c r="U80" i="19"/>
  <c r="M65" i="19"/>
  <c r="M92" i="19" s="1"/>
  <c r="M82" i="19"/>
  <c r="L66" i="19"/>
  <c r="L94" i="19" s="1"/>
  <c r="D8" i="15"/>
  <c r="F8" i="15" s="1"/>
  <c r="P7" i="16"/>
  <c r="D13" i="17"/>
  <c r="H13" i="17"/>
  <c r="L13" i="17"/>
  <c r="C13" i="17"/>
  <c r="G13" i="17"/>
  <c r="K13" i="17"/>
  <c r="J13" i="17"/>
  <c r="F13" i="17"/>
  <c r="A14" i="17"/>
  <c r="A14" i="18" s="1"/>
  <c r="I13" i="17"/>
  <c r="E13" i="17"/>
  <c r="C12" i="16"/>
  <c r="N12" i="17"/>
  <c r="P9" i="16"/>
  <c r="D10" i="15"/>
  <c r="E12" i="16"/>
  <c r="F12" i="16"/>
  <c r="L12" i="16"/>
  <c r="O10" i="16"/>
  <c r="O14" i="15"/>
  <c r="J12" i="16"/>
  <c r="M11" i="16"/>
  <c r="I12" i="16"/>
  <c r="G12" i="16"/>
  <c r="D12" i="16"/>
  <c r="AY13" i="11"/>
  <c r="BA19" i="11" s="1"/>
  <c r="BA24" i="11" s="1"/>
  <c r="BA12" i="11"/>
  <c r="AM13" i="11"/>
  <c r="AO24" i="11" s="1"/>
  <c r="AP25" i="11" s="1"/>
  <c r="AH12" i="11" s="1"/>
  <c r="AG40" i="11"/>
  <c r="AI46" i="11" s="1"/>
  <c r="AI51" i="11" s="1"/>
  <c r="AG56" i="11" s="1"/>
  <c r="AJ55" i="11" s="1"/>
  <c r="AS40" i="11"/>
  <c r="AU46" i="11" s="1"/>
  <c r="BA39" i="11"/>
  <c r="AG13" i="11"/>
  <c r="AI19" i="11" s="1"/>
  <c r="AA40" i="11"/>
  <c r="AC46" i="11" s="1"/>
  <c r="AC51" i="11" s="1"/>
  <c r="AA13" i="11"/>
  <c r="AC19" i="11" s="1"/>
  <c r="BA11" i="11"/>
  <c r="BA13" i="11" s="1"/>
  <c r="BA17" i="11" s="1"/>
  <c r="AM40" i="11"/>
  <c r="AO46" i="11" s="1"/>
  <c r="AO51" i="11" s="1"/>
  <c r="AP52" i="11" s="1"/>
  <c r="AH39" i="11" s="1"/>
  <c r="AS13" i="11"/>
  <c r="AU24" i="11" s="1"/>
  <c r="BA38" i="11"/>
  <c r="AU23" i="11"/>
  <c r="AT11" i="11"/>
  <c r="AU11" i="11" s="1"/>
  <c r="BA23" i="11"/>
  <c r="AY40" i="11"/>
  <c r="BA46" i="11" s="1"/>
  <c r="BA51" i="11" s="1"/>
  <c r="BB52" i="11" s="1"/>
  <c r="AU38" i="11"/>
  <c r="O79" i="10"/>
  <c r="D23" i="10"/>
  <c r="E23" i="10" s="1"/>
  <c r="F23" i="10" s="1"/>
  <c r="G23" i="10" s="1"/>
  <c r="H23" i="10" s="1"/>
  <c r="I23" i="10" s="1"/>
  <c r="J23" i="10" s="1"/>
  <c r="K23" i="10" s="1"/>
  <c r="L23" i="10" s="1"/>
  <c r="M23" i="10" s="1"/>
  <c r="N23" i="10" s="1"/>
  <c r="D22" i="10"/>
  <c r="E22" i="10" s="1"/>
  <c r="F22" i="10" s="1"/>
  <c r="G22" i="10" s="1"/>
  <c r="H22" i="10" s="1"/>
  <c r="I22" i="10" s="1"/>
  <c r="J22" i="10" s="1"/>
  <c r="K22" i="10" s="1"/>
  <c r="L22" i="10" s="1"/>
  <c r="M22" i="10" s="1"/>
  <c r="N22" i="10" s="1"/>
  <c r="D21" i="10"/>
  <c r="E21" i="10" s="1"/>
  <c r="F21" i="10" s="1"/>
  <c r="G21" i="10" s="1"/>
  <c r="H21" i="10" s="1"/>
  <c r="I21" i="10" s="1"/>
  <c r="J21" i="10" s="1"/>
  <c r="K21" i="10" s="1"/>
  <c r="L21" i="10" s="1"/>
  <c r="M21" i="10" s="1"/>
  <c r="N21" i="10" s="1"/>
  <c r="D20" i="10"/>
  <c r="E20" i="10" s="1"/>
  <c r="F20" i="10" s="1"/>
  <c r="G20" i="10" s="1"/>
  <c r="H20" i="10" s="1"/>
  <c r="I20" i="10" s="1"/>
  <c r="J20" i="10" s="1"/>
  <c r="K20" i="10" s="1"/>
  <c r="L20" i="10" s="1"/>
  <c r="M20" i="10" s="1"/>
  <c r="N20" i="10" s="1"/>
  <c r="D19" i="10"/>
  <c r="E19" i="10" s="1"/>
  <c r="F19" i="10" s="1"/>
  <c r="G19" i="10" s="1"/>
  <c r="H19" i="10" s="1"/>
  <c r="I19" i="10" s="1"/>
  <c r="J19" i="10" s="1"/>
  <c r="K19" i="10" s="1"/>
  <c r="L19" i="10" s="1"/>
  <c r="M19" i="10" s="1"/>
  <c r="N19" i="10" s="1"/>
  <c r="D18" i="10"/>
  <c r="E18" i="10" s="1"/>
  <c r="F18" i="10" s="1"/>
  <c r="G18" i="10" s="1"/>
  <c r="H18" i="10" s="1"/>
  <c r="I18" i="10" s="1"/>
  <c r="J18" i="10" s="1"/>
  <c r="K18" i="10" s="1"/>
  <c r="L18" i="10" s="1"/>
  <c r="M18" i="10" s="1"/>
  <c r="N18" i="10" s="1"/>
  <c r="D17" i="10"/>
  <c r="E17" i="10" s="1"/>
  <c r="F17" i="10" s="1"/>
  <c r="G17" i="10" s="1"/>
  <c r="H17" i="10" s="1"/>
  <c r="I17" i="10" s="1"/>
  <c r="J17" i="10" s="1"/>
  <c r="K17" i="10" s="1"/>
  <c r="L17" i="10" s="1"/>
  <c r="M17" i="10" s="1"/>
  <c r="N17" i="10" s="1"/>
  <c r="D16" i="10"/>
  <c r="E16" i="10" s="1"/>
  <c r="F16" i="10" s="1"/>
  <c r="G16" i="10" s="1"/>
  <c r="H16" i="10" s="1"/>
  <c r="I16" i="10" s="1"/>
  <c r="J16" i="10" s="1"/>
  <c r="K16" i="10" s="1"/>
  <c r="L16" i="10" s="1"/>
  <c r="M16" i="10" s="1"/>
  <c r="N16" i="10" s="1"/>
  <c r="D15" i="10"/>
  <c r="E15" i="10" s="1"/>
  <c r="F15" i="10" s="1"/>
  <c r="G15" i="10" s="1"/>
  <c r="H15" i="10" s="1"/>
  <c r="I15" i="10" s="1"/>
  <c r="J15" i="10" s="1"/>
  <c r="K15" i="10" s="1"/>
  <c r="L15" i="10" s="1"/>
  <c r="M15" i="10" s="1"/>
  <c r="N15" i="10" s="1"/>
  <c r="D14" i="10"/>
  <c r="E14" i="10" s="1"/>
  <c r="F14" i="10" s="1"/>
  <c r="G14" i="10" s="1"/>
  <c r="H14" i="10" s="1"/>
  <c r="I14" i="10" s="1"/>
  <c r="J14" i="10" s="1"/>
  <c r="K14" i="10" s="1"/>
  <c r="L14" i="10" s="1"/>
  <c r="M14" i="10" s="1"/>
  <c r="N14" i="10" s="1"/>
  <c r="D13" i="10"/>
  <c r="E13" i="10" s="1"/>
  <c r="F13" i="10" s="1"/>
  <c r="G13" i="10" s="1"/>
  <c r="H13" i="10" s="1"/>
  <c r="I13" i="10" s="1"/>
  <c r="J13" i="10" s="1"/>
  <c r="K13" i="10" s="1"/>
  <c r="L13" i="10" s="1"/>
  <c r="M13" i="10" s="1"/>
  <c r="N13" i="10" s="1"/>
  <c r="N9" i="10"/>
  <c r="N10" i="10" s="1"/>
  <c r="M9" i="10"/>
  <c r="M10" i="10" s="1"/>
  <c r="L9" i="10"/>
  <c r="L10" i="10" s="1"/>
  <c r="K9" i="10"/>
  <c r="K10" i="10" s="1"/>
  <c r="J9" i="10"/>
  <c r="J10" i="10" s="1"/>
  <c r="I9" i="10"/>
  <c r="I10" i="10" s="1"/>
  <c r="H9" i="10"/>
  <c r="H10" i="10" s="1"/>
  <c r="G9" i="10"/>
  <c r="G10" i="10" s="1"/>
  <c r="F9" i="10"/>
  <c r="F10" i="10" s="1"/>
  <c r="E9" i="10"/>
  <c r="E10" i="10" s="1"/>
  <c r="D9" i="10"/>
  <c r="D10" i="10" s="1"/>
  <c r="C9" i="10"/>
  <c r="C10" i="10" s="1"/>
  <c r="D6" i="10"/>
  <c r="E6" i="10" s="1"/>
  <c r="F6" i="10" s="1"/>
  <c r="G6" i="10" s="1"/>
  <c r="H6" i="10" s="1"/>
  <c r="I6" i="10" s="1"/>
  <c r="J6" i="10" s="1"/>
  <c r="K6" i="10" s="1"/>
  <c r="L6" i="10" s="1"/>
  <c r="M6" i="10" s="1"/>
  <c r="N6" i="10" s="1"/>
  <c r="A18" i="9"/>
  <c r="L18" i="9" s="1"/>
  <c r="A17" i="9"/>
  <c r="K17" i="9" s="1"/>
  <c r="A16" i="9"/>
  <c r="J16" i="9" s="1"/>
  <c r="A15" i="9"/>
  <c r="I15" i="9" s="1"/>
  <c r="A14" i="9"/>
  <c r="L14" i="9" s="1"/>
  <c r="A13" i="9"/>
  <c r="K13" i="9" s="1"/>
  <c r="A12" i="9"/>
  <c r="J12" i="9" s="1"/>
  <c r="A11" i="9"/>
  <c r="I11" i="9" s="1"/>
  <c r="A10" i="9"/>
  <c r="L10" i="9" s="1"/>
  <c r="A9" i="9"/>
  <c r="I9" i="9" s="1"/>
  <c r="A8" i="9"/>
  <c r="J8" i="9" s="1"/>
  <c r="A7" i="9"/>
  <c r="I7" i="9" s="1"/>
  <c r="A2" i="9"/>
  <c r="A7" i="8"/>
  <c r="A8" i="8" s="1"/>
  <c r="A2" i="8"/>
  <c r="L18" i="7"/>
  <c r="K18" i="7"/>
  <c r="J18" i="7"/>
  <c r="I18" i="7"/>
  <c r="H18" i="7"/>
  <c r="G18" i="7"/>
  <c r="F18" i="7"/>
  <c r="E18" i="7"/>
  <c r="D18" i="7"/>
  <c r="C18" i="7"/>
  <c r="A18" i="7"/>
  <c r="L17" i="7"/>
  <c r="K17" i="7"/>
  <c r="J17" i="7"/>
  <c r="I17" i="7"/>
  <c r="H17" i="7"/>
  <c r="G17" i="7"/>
  <c r="F17" i="7"/>
  <c r="E17" i="7"/>
  <c r="D17" i="7"/>
  <c r="C17" i="7"/>
  <c r="A17" i="7"/>
  <c r="L16" i="7"/>
  <c r="K16" i="7"/>
  <c r="J16" i="7"/>
  <c r="I16" i="7"/>
  <c r="H16" i="7"/>
  <c r="G16" i="7"/>
  <c r="F16" i="7"/>
  <c r="E16" i="7"/>
  <c r="D16" i="7"/>
  <c r="C16" i="7"/>
  <c r="A16" i="7"/>
  <c r="L15" i="7"/>
  <c r="K15" i="7"/>
  <c r="J15" i="7"/>
  <c r="I15" i="7"/>
  <c r="H15" i="7"/>
  <c r="G15" i="7"/>
  <c r="F15" i="7"/>
  <c r="E15" i="7"/>
  <c r="D15" i="7"/>
  <c r="C15" i="7"/>
  <c r="A15" i="7"/>
  <c r="L14" i="7"/>
  <c r="K14" i="7"/>
  <c r="J14" i="7"/>
  <c r="I14" i="7"/>
  <c r="H14" i="7"/>
  <c r="G14" i="7"/>
  <c r="F14" i="7"/>
  <c r="E14" i="7"/>
  <c r="D14" i="7"/>
  <c r="C14" i="7"/>
  <c r="A14" i="7"/>
  <c r="L13" i="7"/>
  <c r="K13" i="7"/>
  <c r="J13" i="7"/>
  <c r="I13" i="7"/>
  <c r="H13" i="7"/>
  <c r="G13" i="7"/>
  <c r="F13" i="7"/>
  <c r="E13" i="7"/>
  <c r="D13" i="7"/>
  <c r="C13" i="7"/>
  <c r="A13" i="7"/>
  <c r="L12" i="7"/>
  <c r="K12" i="7"/>
  <c r="J12" i="7"/>
  <c r="I12" i="7"/>
  <c r="H12" i="7"/>
  <c r="G12" i="7"/>
  <c r="F12" i="7"/>
  <c r="E12" i="7"/>
  <c r="D12" i="7"/>
  <c r="C12" i="7"/>
  <c r="A12" i="7"/>
  <c r="L11" i="7"/>
  <c r="K11" i="7"/>
  <c r="J11" i="7"/>
  <c r="I11" i="7"/>
  <c r="H11" i="7"/>
  <c r="G11" i="7"/>
  <c r="F11" i="7"/>
  <c r="E11" i="7"/>
  <c r="D11" i="7"/>
  <c r="C11" i="7"/>
  <c r="A11" i="7"/>
  <c r="L10" i="7"/>
  <c r="K10" i="7"/>
  <c r="J10" i="7"/>
  <c r="I10" i="7"/>
  <c r="H10" i="7"/>
  <c r="G10" i="7"/>
  <c r="F10" i="7"/>
  <c r="E10" i="7"/>
  <c r="D10" i="7"/>
  <c r="C10" i="7"/>
  <c r="A10" i="7"/>
  <c r="L9" i="7"/>
  <c r="K9" i="7"/>
  <c r="J9" i="7"/>
  <c r="I9" i="7"/>
  <c r="H9" i="7"/>
  <c r="G9" i="7"/>
  <c r="F9" i="7"/>
  <c r="E9" i="7"/>
  <c r="D9" i="7"/>
  <c r="C9" i="7"/>
  <c r="A9" i="7"/>
  <c r="L8" i="7"/>
  <c r="K8" i="7"/>
  <c r="J8" i="7"/>
  <c r="I8" i="7"/>
  <c r="H8" i="7"/>
  <c r="G8" i="7"/>
  <c r="F8" i="7"/>
  <c r="E8" i="7"/>
  <c r="D8" i="7"/>
  <c r="C8" i="7"/>
  <c r="A8" i="7"/>
  <c r="L7" i="7"/>
  <c r="K7" i="7"/>
  <c r="J7" i="7"/>
  <c r="I7" i="7"/>
  <c r="H7" i="7"/>
  <c r="G7" i="7"/>
  <c r="F7" i="7"/>
  <c r="E7" i="7"/>
  <c r="D7" i="7"/>
  <c r="C7" i="7"/>
  <c r="A7" i="7"/>
  <c r="A2" i="7"/>
  <c r="I63" i="6"/>
  <c r="I65" i="6" s="1"/>
  <c r="O54" i="6"/>
  <c r="F33" i="6"/>
  <c r="F34" i="6" s="1"/>
  <c r="B23" i="6"/>
  <c r="J21" i="6"/>
  <c r="O27" i="6" s="1"/>
  <c r="F21" i="6"/>
  <c r="J20" i="6"/>
  <c r="J19" i="6"/>
  <c r="J18" i="6"/>
  <c r="J17" i="6"/>
  <c r="J16" i="6"/>
  <c r="J15" i="6"/>
  <c r="J14" i="6"/>
  <c r="J13" i="6"/>
  <c r="B11" i="6"/>
  <c r="J10" i="6"/>
  <c r="J9" i="6"/>
  <c r="J8" i="6"/>
  <c r="A8" i="6"/>
  <c r="O7" i="6"/>
  <c r="O6" i="6"/>
  <c r="O5" i="6"/>
  <c r="T83" i="5"/>
  <c r="T84" i="5" s="1"/>
  <c r="P75" i="5"/>
  <c r="P76" i="5"/>
  <c r="P77" i="5"/>
  <c r="P78" i="5"/>
  <c r="P79" i="5"/>
  <c r="P71" i="5"/>
  <c r="P72" i="5"/>
  <c r="P73" i="5"/>
  <c r="P74" i="5"/>
  <c r="P70" i="5"/>
  <c r="P69" i="5"/>
  <c r="F22" i="1"/>
  <c r="K9" i="5"/>
  <c r="K10" i="5" s="1"/>
  <c r="F9" i="5"/>
  <c r="F10" i="5"/>
  <c r="D9" i="5"/>
  <c r="D10" i="5" s="1"/>
  <c r="D27" i="5" s="1"/>
  <c r="D55" i="5" s="1"/>
  <c r="J15" i="1"/>
  <c r="J17" i="1"/>
  <c r="J21" i="1"/>
  <c r="J22" i="1"/>
  <c r="O27" i="1" s="1"/>
  <c r="J10" i="1"/>
  <c r="J19" i="1"/>
  <c r="J20" i="1"/>
  <c r="R79" i="5"/>
  <c r="R78" i="5"/>
  <c r="R77" i="5"/>
  <c r="R76" i="5"/>
  <c r="R75" i="5"/>
  <c r="R74" i="5"/>
  <c r="R73" i="5"/>
  <c r="R72" i="5"/>
  <c r="R71" i="5"/>
  <c r="R70" i="5"/>
  <c r="R69" i="5"/>
  <c r="D23" i="5"/>
  <c r="E23" i="5" s="1"/>
  <c r="F23" i="5" s="1"/>
  <c r="G23" i="5" s="1"/>
  <c r="D22" i="5"/>
  <c r="E22" i="5"/>
  <c r="D21" i="5"/>
  <c r="E21" i="5" s="1"/>
  <c r="F21" i="5" s="1"/>
  <c r="D20" i="5"/>
  <c r="E20" i="5" s="1"/>
  <c r="F20" i="5" s="1"/>
  <c r="G20" i="5" s="1"/>
  <c r="H20" i="5" s="1"/>
  <c r="D19" i="5"/>
  <c r="E19" i="5" s="1"/>
  <c r="F19" i="5" s="1"/>
  <c r="G19" i="5" s="1"/>
  <c r="D18" i="5"/>
  <c r="E18" i="5" s="1"/>
  <c r="F18" i="5" s="1"/>
  <c r="D17" i="5"/>
  <c r="E17" i="5" s="1"/>
  <c r="F17" i="5" s="1"/>
  <c r="G17" i="5" s="1"/>
  <c r="H17" i="5" s="1"/>
  <c r="I17" i="5" s="1"/>
  <c r="J17" i="5" s="1"/>
  <c r="D16" i="5"/>
  <c r="E16" i="5" s="1"/>
  <c r="F16" i="5" s="1"/>
  <c r="G16" i="5" s="1"/>
  <c r="H16" i="5" s="1"/>
  <c r="D15" i="5"/>
  <c r="E15" i="5" s="1"/>
  <c r="F15" i="5" s="1"/>
  <c r="D14" i="5"/>
  <c r="E14" i="5" s="1"/>
  <c r="F14" i="5" s="1"/>
  <c r="D13" i="5"/>
  <c r="E13" i="5" s="1"/>
  <c r="F13" i="5" s="1"/>
  <c r="N56" i="1"/>
  <c r="B24" i="1"/>
  <c r="B49" i="1"/>
  <c r="O7" i="1"/>
  <c r="O6" i="1"/>
  <c r="O5" i="1"/>
  <c r="A8" i="1"/>
  <c r="G67" i="1"/>
  <c r="A7" i="2"/>
  <c r="A7" i="3" s="1"/>
  <c r="A8" i="2"/>
  <c r="D6" i="5"/>
  <c r="M9" i="5"/>
  <c r="M10" i="5" s="1"/>
  <c r="N9" i="5"/>
  <c r="E9" i="5"/>
  <c r="E10" i="5"/>
  <c r="G9" i="5"/>
  <c r="G10" i="5" s="1"/>
  <c r="I9" i="5"/>
  <c r="I10" i="5"/>
  <c r="J9" i="5"/>
  <c r="J10" i="5" s="1"/>
  <c r="B55" i="1"/>
  <c r="F53" i="1"/>
  <c r="G58" i="1"/>
  <c r="B47" i="1"/>
  <c r="B3" i="5"/>
  <c r="B2" i="5"/>
  <c r="A2" i="4"/>
  <c r="A2" i="2" s="1"/>
  <c r="J8" i="1"/>
  <c r="J14" i="1"/>
  <c r="J16" i="1"/>
  <c r="J18" i="1"/>
  <c r="F22" i="5"/>
  <c r="G22" i="5" s="1"/>
  <c r="G15" i="5"/>
  <c r="O79" i="5"/>
  <c r="N10" i="5"/>
  <c r="H9" i="5"/>
  <c r="H10" i="5" s="1"/>
  <c r="L9" i="5"/>
  <c r="L10" i="5"/>
  <c r="A27" i="1"/>
  <c r="F34" i="1"/>
  <c r="F35" i="1" s="1"/>
  <c r="J9" i="1"/>
  <c r="B12" i="1"/>
  <c r="B26" i="1" s="1"/>
  <c r="C9" i="5"/>
  <c r="C10" i="5" s="1"/>
  <c r="A9" i="2"/>
  <c r="A10" i="2" s="1"/>
  <c r="A11" i="2" s="1"/>
  <c r="F38" i="1"/>
  <c r="F39" i="1" s="1"/>
  <c r="C29" i="5"/>
  <c r="C57" i="5" s="1"/>
  <c r="C84" i="5" s="1"/>
  <c r="C32" i="5"/>
  <c r="C60" i="5" s="1"/>
  <c r="C87" i="5" s="1"/>
  <c r="F36" i="5"/>
  <c r="F64" i="5" s="1"/>
  <c r="F91" i="5" s="1"/>
  <c r="G31" i="5"/>
  <c r="G59" i="5" s="1"/>
  <c r="G86" i="5" s="1"/>
  <c r="I63" i="1"/>
  <c r="I65" i="1" s="1"/>
  <c r="G21" i="5"/>
  <c r="G35" i="5" s="1"/>
  <c r="G63" i="5" s="1"/>
  <c r="G90" i="5" s="1"/>
  <c r="F35" i="5"/>
  <c r="F63" i="5" s="1"/>
  <c r="F90" i="5" s="1"/>
  <c r="D32" i="5"/>
  <c r="D60" i="5" s="1"/>
  <c r="D36" i="5"/>
  <c r="D64" i="5" s="1"/>
  <c r="C37" i="5"/>
  <c r="C30" i="5"/>
  <c r="C58" i="5" s="1"/>
  <c r="C35" i="5"/>
  <c r="C63" i="5" s="1"/>
  <c r="E7" i="2" s="1"/>
  <c r="C33" i="5"/>
  <c r="C61" i="5"/>
  <c r="C88" i="5" s="1"/>
  <c r="E35" i="5"/>
  <c r="E63" i="5" s="1"/>
  <c r="E90" i="5" s="1"/>
  <c r="E36" i="5"/>
  <c r="E64" i="5" s="1"/>
  <c r="E91" i="5" s="1"/>
  <c r="C90" i="5"/>
  <c r="D87" i="5"/>
  <c r="I16" i="5" l="1"/>
  <c r="J16" i="5" s="1"/>
  <c r="K16" i="5" s="1"/>
  <c r="H30" i="5"/>
  <c r="H58" i="5" s="1"/>
  <c r="H85" i="5" s="1"/>
  <c r="H23" i="5"/>
  <c r="G37" i="5"/>
  <c r="J31" i="5"/>
  <c r="J59" i="5" s="1"/>
  <c r="J86" i="5" s="1"/>
  <c r="K17" i="5"/>
  <c r="C85" i="5"/>
  <c r="F7" i="2"/>
  <c r="H22" i="5"/>
  <c r="I22" i="5" s="1"/>
  <c r="G36" i="5"/>
  <c r="G64" i="5" s="1"/>
  <c r="G91" i="5" s="1"/>
  <c r="G18" i="5"/>
  <c r="F32" i="5"/>
  <c r="F60" i="5" s="1"/>
  <c r="F87" i="5" s="1"/>
  <c r="I20" i="5"/>
  <c r="J20" i="5" s="1"/>
  <c r="K20" i="5" s="1"/>
  <c r="H34" i="5"/>
  <c r="H62" i="5" s="1"/>
  <c r="H89" i="5" s="1"/>
  <c r="G33" i="5"/>
  <c r="G61" i="5" s="1"/>
  <c r="H19" i="5"/>
  <c r="D30" i="5"/>
  <c r="D58" i="5" s="1"/>
  <c r="D85" i="5" s="1"/>
  <c r="D33" i="5"/>
  <c r="D61" i="5" s="1"/>
  <c r="D88" i="5" s="1"/>
  <c r="E37" i="5"/>
  <c r="E34" i="5"/>
  <c r="E62" i="5" s="1"/>
  <c r="E89" i="5" s="1"/>
  <c r="H21" i="5"/>
  <c r="E32" i="5"/>
  <c r="E60" i="5" s="1"/>
  <c r="E87" i="5" s="1"/>
  <c r="E30" i="5"/>
  <c r="E58" i="5" s="1"/>
  <c r="E85" i="5" s="1"/>
  <c r="D29" i="5"/>
  <c r="D57" i="5" s="1"/>
  <c r="D84" i="5" s="1"/>
  <c r="D28" i="5"/>
  <c r="D56" i="5" s="1"/>
  <c r="D83" i="5" s="1"/>
  <c r="D35" i="5"/>
  <c r="D63" i="5" s="1"/>
  <c r="D90" i="5" s="1"/>
  <c r="M93" i="19"/>
  <c r="M66" i="24"/>
  <c r="N30" i="29"/>
  <c r="N58" i="29" s="1"/>
  <c r="N85" i="29" s="1"/>
  <c r="T72" i="29"/>
  <c r="U72" i="29" s="1"/>
  <c r="O10" i="10"/>
  <c r="O87" i="34"/>
  <c r="F41" i="1"/>
  <c r="G41" i="1" s="1"/>
  <c r="E33" i="5"/>
  <c r="E61" i="5" s="1"/>
  <c r="C8" i="2"/>
  <c r="F31" i="5"/>
  <c r="F59" i="5" s="1"/>
  <c r="F86" i="5" s="1"/>
  <c r="N18" i="42"/>
  <c r="N20" i="42" s="1"/>
  <c r="C20" i="42"/>
  <c r="A7" i="4"/>
  <c r="L7" i="3"/>
  <c r="J7" i="3"/>
  <c r="C7" i="3"/>
  <c r="H7" i="3"/>
  <c r="F7" i="3"/>
  <c r="K7" i="3"/>
  <c r="G7" i="3"/>
  <c r="I7" i="3"/>
  <c r="D7" i="3"/>
  <c r="E7" i="3"/>
  <c r="E7" i="4" s="1"/>
  <c r="K8" i="2"/>
  <c r="A8" i="3"/>
  <c r="A9" i="3"/>
  <c r="C7" i="2"/>
  <c r="C7" i="4" s="1"/>
  <c r="F13" i="16"/>
  <c r="M16" i="36"/>
  <c r="O16" i="36" s="1"/>
  <c r="D19" i="35" s="1"/>
  <c r="D17" i="36"/>
  <c r="K21" i="35"/>
  <c r="A3" i="35"/>
  <c r="C41" i="35"/>
  <c r="A18" i="38"/>
  <c r="J18" i="37"/>
  <c r="D18" i="37"/>
  <c r="H18" i="37"/>
  <c r="L18" i="37"/>
  <c r="F18" i="37"/>
  <c r="E18" i="37"/>
  <c r="I18" i="37"/>
  <c r="K18" i="37"/>
  <c r="C18" i="37"/>
  <c r="G18" i="37"/>
  <c r="C17" i="38"/>
  <c r="C17" i="36" s="1"/>
  <c r="G17" i="38"/>
  <c r="G17" i="36" s="1"/>
  <c r="K17" i="38"/>
  <c r="D17" i="38"/>
  <c r="H17" i="38"/>
  <c r="H17" i="36" s="1"/>
  <c r="L17" i="38"/>
  <c r="L17" i="36" s="1"/>
  <c r="F17" i="38"/>
  <c r="I17" i="38"/>
  <c r="I17" i="36" s="1"/>
  <c r="A17" i="36"/>
  <c r="J17" i="38"/>
  <c r="J17" i="36" s="1"/>
  <c r="E17" i="38"/>
  <c r="E17" i="36" s="1"/>
  <c r="F17" i="36"/>
  <c r="N17" i="37"/>
  <c r="K17" i="36"/>
  <c r="I94" i="34"/>
  <c r="I96" i="34" s="1"/>
  <c r="H13" i="31"/>
  <c r="M13" i="31" s="1"/>
  <c r="O83" i="34"/>
  <c r="O90" i="34"/>
  <c r="J92" i="34"/>
  <c r="H14" i="32"/>
  <c r="H14" i="31" s="1"/>
  <c r="M38" i="34"/>
  <c r="M55" i="34"/>
  <c r="G17" i="32" s="1"/>
  <c r="K19" i="30"/>
  <c r="A20" i="30"/>
  <c r="G14" i="31"/>
  <c r="N57" i="34"/>
  <c r="N38" i="34"/>
  <c r="E17" i="32"/>
  <c r="A17" i="33"/>
  <c r="L17" i="32"/>
  <c r="C17" i="32"/>
  <c r="A18" i="32"/>
  <c r="D17" i="32"/>
  <c r="J17" i="32"/>
  <c r="F17" i="32"/>
  <c r="K17" i="32"/>
  <c r="I17" i="32"/>
  <c r="L55" i="34"/>
  <c r="L38" i="34"/>
  <c r="K65" i="34"/>
  <c r="K82" i="34"/>
  <c r="G15" i="32"/>
  <c r="N13" i="32"/>
  <c r="O88" i="34"/>
  <c r="J93" i="34"/>
  <c r="J94" i="34" s="1"/>
  <c r="J96" i="34" s="1"/>
  <c r="O86" i="34"/>
  <c r="E16" i="33"/>
  <c r="E16" i="31" s="1"/>
  <c r="C16" i="33"/>
  <c r="C16" i="31" s="1"/>
  <c r="H16" i="33"/>
  <c r="D16" i="33"/>
  <c r="D16" i="31" s="1"/>
  <c r="J16" i="33"/>
  <c r="J16" i="31" s="1"/>
  <c r="F16" i="33"/>
  <c r="F16" i="31" s="1"/>
  <c r="K16" i="33"/>
  <c r="K16" i="31" s="1"/>
  <c r="L16" i="33"/>
  <c r="L16" i="31" s="1"/>
  <c r="G16" i="33"/>
  <c r="I16" i="33"/>
  <c r="I16" i="31" s="1"/>
  <c r="A16" i="31"/>
  <c r="N36" i="29"/>
  <c r="N64" i="29" s="1"/>
  <c r="N91" i="29" s="1"/>
  <c r="T78" i="29"/>
  <c r="U78" i="29" s="1"/>
  <c r="N32" i="29"/>
  <c r="N60" i="29" s="1"/>
  <c r="N87" i="29" s="1"/>
  <c r="T74" i="29"/>
  <c r="U74" i="29" s="1"/>
  <c r="K93" i="29"/>
  <c r="H15" i="27"/>
  <c r="N15" i="27" s="1"/>
  <c r="J96" i="29"/>
  <c r="J97" i="29" s="1"/>
  <c r="J95" i="29"/>
  <c r="M56" i="29"/>
  <c r="M38" i="29"/>
  <c r="E15" i="28"/>
  <c r="H15" i="28"/>
  <c r="F15" i="28"/>
  <c r="D15" i="28"/>
  <c r="D15" i="26" s="1"/>
  <c r="J15" i="28"/>
  <c r="J15" i="26" s="1"/>
  <c r="L15" i="28"/>
  <c r="L15" i="26" s="1"/>
  <c r="I15" i="28"/>
  <c r="I15" i="26" s="1"/>
  <c r="K15" i="28"/>
  <c r="C15" i="28"/>
  <c r="G15" i="28"/>
  <c r="D16" i="27"/>
  <c r="G16" i="27"/>
  <c r="C16" i="27"/>
  <c r="K16" i="27"/>
  <c r="A16" i="28"/>
  <c r="E16" i="27"/>
  <c r="J16" i="27"/>
  <c r="L16" i="27"/>
  <c r="A17" i="27"/>
  <c r="F16" i="27"/>
  <c r="I16" i="27"/>
  <c r="L83" i="29"/>
  <c r="L65" i="29"/>
  <c r="L92" i="29" s="1"/>
  <c r="K66" i="29"/>
  <c r="T70" i="29"/>
  <c r="U70" i="29" s="1"/>
  <c r="N28" i="29"/>
  <c r="O13" i="26"/>
  <c r="D17" i="25" s="1"/>
  <c r="O17" i="25"/>
  <c r="M14" i="26"/>
  <c r="F15" i="26"/>
  <c r="C15" i="26"/>
  <c r="E15" i="26"/>
  <c r="K15" i="26"/>
  <c r="G15" i="26"/>
  <c r="E12" i="9"/>
  <c r="I16" i="9"/>
  <c r="A1" i="7"/>
  <c r="F20" i="7"/>
  <c r="J20" i="7"/>
  <c r="D20" i="7"/>
  <c r="M10" i="7"/>
  <c r="O10" i="7" s="1"/>
  <c r="P10" i="7" s="1"/>
  <c r="M14" i="7"/>
  <c r="O14" i="7" s="1"/>
  <c r="P14" i="7" s="1"/>
  <c r="M18" i="7"/>
  <c r="O18" i="7" s="1"/>
  <c r="P18" i="7" s="1"/>
  <c r="D16" i="9"/>
  <c r="D17" i="9"/>
  <c r="I14" i="9"/>
  <c r="E16" i="9"/>
  <c r="E17" i="9"/>
  <c r="M93" i="24"/>
  <c r="O82" i="24"/>
  <c r="C14" i="22"/>
  <c r="G14" i="22"/>
  <c r="K14" i="22"/>
  <c r="E14" i="22"/>
  <c r="I14" i="22"/>
  <c r="D14" i="22"/>
  <c r="L14" i="22"/>
  <c r="H14" i="22"/>
  <c r="A14" i="23"/>
  <c r="A14" i="21" s="1"/>
  <c r="J14" i="22"/>
  <c r="F14" i="22"/>
  <c r="A15" i="22"/>
  <c r="D13" i="23"/>
  <c r="D13" i="21" s="1"/>
  <c r="F13" i="23"/>
  <c r="F13" i="21" s="1"/>
  <c r="K13" i="23"/>
  <c r="K13" i="21" s="1"/>
  <c r="C13" i="23"/>
  <c r="I13" i="23"/>
  <c r="E13" i="23"/>
  <c r="E13" i="21" s="1"/>
  <c r="J13" i="23"/>
  <c r="J13" i="21" s="1"/>
  <c r="G13" i="23"/>
  <c r="G13" i="21" s="1"/>
  <c r="L13" i="23"/>
  <c r="L13" i="21" s="1"/>
  <c r="H13" i="23"/>
  <c r="H13" i="21" s="1"/>
  <c r="N13" i="22"/>
  <c r="O11" i="21"/>
  <c r="O14" i="20"/>
  <c r="M12" i="21"/>
  <c r="P10" i="21"/>
  <c r="D13" i="20"/>
  <c r="F13" i="20" s="1"/>
  <c r="D11" i="20"/>
  <c r="A20" i="20"/>
  <c r="K19" i="20"/>
  <c r="C13" i="21"/>
  <c r="I13" i="21"/>
  <c r="M66" i="19"/>
  <c r="M94" i="19" s="1"/>
  <c r="L95" i="19"/>
  <c r="L96" i="19"/>
  <c r="L97" i="19" s="1"/>
  <c r="E14" i="18"/>
  <c r="I14" i="18"/>
  <c r="C14" i="18"/>
  <c r="H14" i="18"/>
  <c r="D14" i="18"/>
  <c r="J14" i="18"/>
  <c r="F14" i="18"/>
  <c r="K14" i="18"/>
  <c r="G14" i="18"/>
  <c r="L14" i="18"/>
  <c r="N65" i="19"/>
  <c r="N92" i="19" s="1"/>
  <c r="N82" i="19"/>
  <c r="A14" i="16"/>
  <c r="A18" i="15" s="1"/>
  <c r="K95" i="19"/>
  <c r="K96" i="19"/>
  <c r="K97" i="19" s="1"/>
  <c r="C13" i="16"/>
  <c r="N13" i="17"/>
  <c r="E13" i="16"/>
  <c r="J13" i="16"/>
  <c r="L13" i="16"/>
  <c r="O11" i="16"/>
  <c r="O15" i="15"/>
  <c r="P10" i="16"/>
  <c r="D14" i="15"/>
  <c r="I13" i="16"/>
  <c r="K13" i="16"/>
  <c r="H13" i="16"/>
  <c r="M12" i="16"/>
  <c r="F10" i="15"/>
  <c r="D12" i="15"/>
  <c r="D14" i="17"/>
  <c r="H14" i="17"/>
  <c r="L14" i="17"/>
  <c r="C14" i="17"/>
  <c r="G14" i="17"/>
  <c r="K14" i="17"/>
  <c r="F14" i="17"/>
  <c r="A15" i="17"/>
  <c r="A15" i="18" s="1"/>
  <c r="J14" i="17"/>
  <c r="E14" i="17"/>
  <c r="I14" i="17"/>
  <c r="G13" i="16"/>
  <c r="D13" i="16"/>
  <c r="BB21" i="11"/>
  <c r="AI24" i="11"/>
  <c r="AJ25" i="11" s="1"/>
  <c r="AB12" i="11" s="1"/>
  <c r="AC12" i="11" s="1"/>
  <c r="AJ52" i="11"/>
  <c r="AB39" i="11" s="1"/>
  <c r="V38" i="11" s="1"/>
  <c r="W38" i="11" s="1"/>
  <c r="BB25" i="11"/>
  <c r="AT12" i="11" s="1"/>
  <c r="AO19" i="11"/>
  <c r="AU19" i="11"/>
  <c r="BA40" i="11"/>
  <c r="BA44" i="11" s="1"/>
  <c r="BB48" i="11" s="1"/>
  <c r="BB54" i="11" s="1"/>
  <c r="BB57" i="11" s="1"/>
  <c r="AU51" i="11"/>
  <c r="AV52" i="11" s="1"/>
  <c r="AN39" i="11" s="1"/>
  <c r="AA56" i="11"/>
  <c r="AD55" i="11" s="1"/>
  <c r="AC24" i="11"/>
  <c r="AI39" i="11"/>
  <c r="AB38" i="11"/>
  <c r="AC38" i="11" s="1"/>
  <c r="AV25" i="11"/>
  <c r="AN12" i="11" s="1"/>
  <c r="AI12" i="11"/>
  <c r="AB11" i="11"/>
  <c r="AC11" i="11" s="1"/>
  <c r="AT39" i="11"/>
  <c r="C8" i="9"/>
  <c r="H12" i="9"/>
  <c r="D13" i="9"/>
  <c r="H8" i="9"/>
  <c r="E10" i="9"/>
  <c r="C12" i="9"/>
  <c r="I12" i="9"/>
  <c r="L13" i="9"/>
  <c r="K16" i="9"/>
  <c r="H17" i="9"/>
  <c r="E18" i="9"/>
  <c r="I10" i="9"/>
  <c r="D12" i="9"/>
  <c r="K12" i="9"/>
  <c r="L17" i="9"/>
  <c r="H15" i="5"/>
  <c r="I15" i="5" s="1"/>
  <c r="G29" i="5"/>
  <c r="G57" i="5" s="1"/>
  <c r="A9" i="4"/>
  <c r="A10" i="1" s="1"/>
  <c r="F8" i="2"/>
  <c r="I19" i="5"/>
  <c r="J19" i="5" s="1"/>
  <c r="K19" i="5" s="1"/>
  <c r="H33" i="5"/>
  <c r="H61" i="5" s="1"/>
  <c r="G14" i="5"/>
  <c r="H14" i="5" s="1"/>
  <c r="F28" i="5"/>
  <c r="F56" i="5" s="1"/>
  <c r="F83" i="5" s="1"/>
  <c r="I23" i="5"/>
  <c r="J23" i="5" s="1"/>
  <c r="H37" i="5"/>
  <c r="A12" i="2"/>
  <c r="A11" i="3"/>
  <c r="G13" i="5"/>
  <c r="F27" i="5"/>
  <c r="G8" i="2"/>
  <c r="D82" i="5"/>
  <c r="D91" i="5"/>
  <c r="L8" i="2"/>
  <c r="I33" i="5"/>
  <c r="I61" i="5" s="1"/>
  <c r="I34" i="5"/>
  <c r="I62" i="5" s="1"/>
  <c r="I89" i="5" s="1"/>
  <c r="I37" i="5"/>
  <c r="I30" i="5"/>
  <c r="I58" i="5" s="1"/>
  <c r="I85" i="5" s="1"/>
  <c r="I31" i="5"/>
  <c r="I59" i="5" s="1"/>
  <c r="I86" i="5" s="1"/>
  <c r="E8" i="2"/>
  <c r="E31" i="5"/>
  <c r="E59" i="5" s="1"/>
  <c r="E86" i="5" s="1"/>
  <c r="C34" i="5"/>
  <c r="C62" i="5" s="1"/>
  <c r="O10" i="5"/>
  <c r="C27" i="5"/>
  <c r="C28" i="5"/>
  <c r="C56" i="5" s="1"/>
  <c r="C36" i="5"/>
  <c r="C64" i="5" s="1"/>
  <c r="H29" i="5"/>
  <c r="H57" i="5" s="1"/>
  <c r="H31" i="5"/>
  <c r="H59" i="5" s="1"/>
  <c r="H86" i="5" s="1"/>
  <c r="E6" i="5"/>
  <c r="E9" i="3" s="1"/>
  <c r="I9" i="2"/>
  <c r="H20" i="7"/>
  <c r="L20" i="7"/>
  <c r="G34" i="5"/>
  <c r="G62" i="5" s="1"/>
  <c r="G89" i="5" s="1"/>
  <c r="H36" i="5"/>
  <c r="H64" i="5" s="1"/>
  <c r="H91" i="5" s="1"/>
  <c r="C31" i="5"/>
  <c r="C59" i="5" s="1"/>
  <c r="A10" i="3"/>
  <c r="G30" i="5"/>
  <c r="G58" i="5" s="1"/>
  <c r="G85" i="5" s="1"/>
  <c r="D31" i="5"/>
  <c r="D34" i="5"/>
  <c r="D62" i="5" s="1"/>
  <c r="D37" i="5"/>
  <c r="J26" i="1"/>
  <c r="G50" i="1" s="1"/>
  <c r="J34" i="5"/>
  <c r="J62" i="5" s="1"/>
  <c r="J89" i="5" s="1"/>
  <c r="J33" i="5"/>
  <c r="J61" i="5" s="1"/>
  <c r="E28" i="5"/>
  <c r="E56" i="5" s="1"/>
  <c r="E83" i="5" s="1"/>
  <c r="E29" i="5"/>
  <c r="E57" i="5" s="1"/>
  <c r="E27" i="5"/>
  <c r="F37" i="5"/>
  <c r="F30" i="5"/>
  <c r="F58" i="5" s="1"/>
  <c r="F85" i="5" s="1"/>
  <c r="F34" i="5"/>
  <c r="F62" i="5" s="1"/>
  <c r="F89" i="5" s="1"/>
  <c r="F29" i="5"/>
  <c r="F57" i="5" s="1"/>
  <c r="F33" i="5"/>
  <c r="F61" i="5" s="1"/>
  <c r="K9" i="9"/>
  <c r="H9" i="9"/>
  <c r="E9" i="9"/>
  <c r="L9" i="9"/>
  <c r="D9" i="9"/>
  <c r="C20" i="7"/>
  <c r="G20" i="7"/>
  <c r="K20" i="7"/>
  <c r="M11" i="7"/>
  <c r="O11" i="7" s="1"/>
  <c r="P11" i="7" s="1"/>
  <c r="M15" i="7"/>
  <c r="O15" i="7" s="1"/>
  <c r="P15" i="7" s="1"/>
  <c r="D8" i="9"/>
  <c r="I8" i="9"/>
  <c r="E13" i="9"/>
  <c r="G16" i="9"/>
  <c r="L16" i="9"/>
  <c r="B25" i="6"/>
  <c r="F37" i="6" s="1"/>
  <c r="F38" i="6" s="1"/>
  <c r="M8" i="7"/>
  <c r="O8" i="7" s="1"/>
  <c r="P8" i="7" s="1"/>
  <c r="I20" i="7"/>
  <c r="M12" i="7"/>
  <c r="O12" i="7" s="1"/>
  <c r="P12" i="7" s="1"/>
  <c r="M16" i="7"/>
  <c r="O16" i="7" s="1"/>
  <c r="P16" i="7" s="1"/>
  <c r="E8" i="9"/>
  <c r="K8" i="9"/>
  <c r="G12" i="9"/>
  <c r="L12" i="9"/>
  <c r="H13" i="9"/>
  <c r="E14" i="9"/>
  <c r="C16" i="9"/>
  <c r="H16" i="9"/>
  <c r="I17" i="9"/>
  <c r="I18" i="9"/>
  <c r="I37" i="10"/>
  <c r="J25" i="6"/>
  <c r="G49" i="6" s="1"/>
  <c r="M9" i="7"/>
  <c r="O9" i="7" s="1"/>
  <c r="P9" i="7" s="1"/>
  <c r="M13" i="7"/>
  <c r="O13" i="7" s="1"/>
  <c r="P13" i="7" s="1"/>
  <c r="M17" i="7"/>
  <c r="O17" i="7" s="1"/>
  <c r="P17" i="7" s="1"/>
  <c r="G8" i="9"/>
  <c r="L8" i="9"/>
  <c r="I13" i="9"/>
  <c r="C37" i="10"/>
  <c r="C36" i="10"/>
  <c r="C64" i="10" s="1"/>
  <c r="C91" i="10" s="1"/>
  <c r="C35" i="10"/>
  <c r="C63" i="10" s="1"/>
  <c r="C90" i="10" s="1"/>
  <c r="C34" i="10"/>
  <c r="C62" i="10" s="1"/>
  <c r="C89" i="10" s="1"/>
  <c r="C33" i="10"/>
  <c r="C61" i="10" s="1"/>
  <c r="C88" i="10" s="1"/>
  <c r="C32" i="10"/>
  <c r="C60" i="10" s="1"/>
  <c r="C87" i="10" s="1"/>
  <c r="C31" i="10"/>
  <c r="C59" i="10" s="1"/>
  <c r="C86" i="10" s="1"/>
  <c r="C30" i="10"/>
  <c r="C58" i="10" s="1"/>
  <c r="C85" i="10" s="1"/>
  <c r="C29" i="10"/>
  <c r="C57" i="10" s="1"/>
  <c r="C84" i="10" s="1"/>
  <c r="C28" i="10"/>
  <c r="C56" i="10" s="1"/>
  <c r="C83" i="10" s="1"/>
  <c r="C27" i="10"/>
  <c r="K37" i="10"/>
  <c r="K36" i="10"/>
  <c r="K64" i="10" s="1"/>
  <c r="K91" i="10" s="1"/>
  <c r="K35" i="10"/>
  <c r="K63" i="10" s="1"/>
  <c r="K90" i="10" s="1"/>
  <c r="K34" i="10"/>
  <c r="K62" i="10" s="1"/>
  <c r="K89" i="10" s="1"/>
  <c r="K33" i="10"/>
  <c r="K61" i="10" s="1"/>
  <c r="K88" i="10" s="1"/>
  <c r="K32" i="10"/>
  <c r="K60" i="10" s="1"/>
  <c r="K87" i="10" s="1"/>
  <c r="K31" i="10"/>
  <c r="K59" i="10" s="1"/>
  <c r="K86" i="10" s="1"/>
  <c r="K30" i="10"/>
  <c r="K58" i="10" s="1"/>
  <c r="K85" i="10" s="1"/>
  <c r="K29" i="10"/>
  <c r="K57" i="10" s="1"/>
  <c r="K84" i="10" s="1"/>
  <c r="K28" i="10"/>
  <c r="K56" i="10" s="1"/>
  <c r="K83" i="10" s="1"/>
  <c r="K27" i="10"/>
  <c r="E36" i="10"/>
  <c r="E64" i="10" s="1"/>
  <c r="E91" i="10" s="1"/>
  <c r="F37" i="10"/>
  <c r="F36" i="10"/>
  <c r="F64" i="10" s="1"/>
  <c r="F91" i="10" s="1"/>
  <c r="F35" i="10"/>
  <c r="F63" i="10" s="1"/>
  <c r="F90" i="10" s="1"/>
  <c r="F34" i="10"/>
  <c r="F62" i="10" s="1"/>
  <c r="F89" i="10" s="1"/>
  <c r="F33" i="10"/>
  <c r="F61" i="10" s="1"/>
  <c r="F88" i="10" s="1"/>
  <c r="F32" i="10"/>
  <c r="F60" i="10" s="1"/>
  <c r="F87" i="10" s="1"/>
  <c r="F31" i="10"/>
  <c r="F59" i="10" s="1"/>
  <c r="F86" i="10" s="1"/>
  <c r="F29" i="10"/>
  <c r="F57" i="10" s="1"/>
  <c r="F84" i="10" s="1"/>
  <c r="F27" i="10"/>
  <c r="F30" i="10"/>
  <c r="F58" i="10" s="1"/>
  <c r="F85" i="10" s="1"/>
  <c r="F28" i="10"/>
  <c r="F56" i="10" s="1"/>
  <c r="F83" i="10" s="1"/>
  <c r="J37" i="10"/>
  <c r="J36" i="10"/>
  <c r="J64" i="10" s="1"/>
  <c r="J91" i="10" s="1"/>
  <c r="J35" i="10"/>
  <c r="J63" i="10" s="1"/>
  <c r="J90" i="10" s="1"/>
  <c r="J34" i="10"/>
  <c r="J62" i="10" s="1"/>
  <c r="J89" i="10" s="1"/>
  <c r="J33" i="10"/>
  <c r="J61" i="10" s="1"/>
  <c r="J88" i="10" s="1"/>
  <c r="J32" i="10"/>
  <c r="J60" i="10" s="1"/>
  <c r="J87" i="10" s="1"/>
  <c r="J31" i="10"/>
  <c r="J59" i="10" s="1"/>
  <c r="J86" i="10" s="1"/>
  <c r="J30" i="10"/>
  <c r="J58" i="10" s="1"/>
  <c r="J85" i="10" s="1"/>
  <c r="J28" i="10"/>
  <c r="J56" i="10" s="1"/>
  <c r="J83" i="10" s="1"/>
  <c r="J29" i="10"/>
  <c r="J57" i="10" s="1"/>
  <c r="J84" i="10" s="1"/>
  <c r="J27" i="10"/>
  <c r="N37" i="10"/>
  <c r="N36" i="10"/>
  <c r="N64" i="10" s="1"/>
  <c r="N91" i="10" s="1"/>
  <c r="N35" i="10"/>
  <c r="N63" i="10" s="1"/>
  <c r="N90" i="10" s="1"/>
  <c r="N34" i="10"/>
  <c r="N62" i="10" s="1"/>
  <c r="N89" i="10" s="1"/>
  <c r="N33" i="10"/>
  <c r="N61" i="10" s="1"/>
  <c r="N88" i="10" s="1"/>
  <c r="N32" i="10"/>
  <c r="N60" i="10" s="1"/>
  <c r="N87" i="10" s="1"/>
  <c r="N31" i="10"/>
  <c r="N59" i="10" s="1"/>
  <c r="N86" i="10" s="1"/>
  <c r="N30" i="10"/>
  <c r="N58" i="10" s="1"/>
  <c r="N85" i="10" s="1"/>
  <c r="N29" i="10"/>
  <c r="N57" i="10" s="1"/>
  <c r="N84" i="10" s="1"/>
  <c r="N27" i="10"/>
  <c r="N28" i="10"/>
  <c r="N56" i="10" s="1"/>
  <c r="N83" i="10" s="1"/>
  <c r="M37" i="10"/>
  <c r="G37" i="10"/>
  <c r="G36" i="10"/>
  <c r="G64" i="10" s="1"/>
  <c r="G91" i="10" s="1"/>
  <c r="G35" i="10"/>
  <c r="G63" i="10" s="1"/>
  <c r="G90" i="10" s="1"/>
  <c r="G34" i="10"/>
  <c r="G62" i="10" s="1"/>
  <c r="G89" i="10" s="1"/>
  <c r="G33" i="10"/>
  <c r="G61" i="10" s="1"/>
  <c r="G88" i="10" s="1"/>
  <c r="G32" i="10"/>
  <c r="G60" i="10" s="1"/>
  <c r="G87" i="10" s="1"/>
  <c r="G31" i="10"/>
  <c r="G59" i="10" s="1"/>
  <c r="G86" i="10" s="1"/>
  <c r="G30" i="10"/>
  <c r="G58" i="10" s="1"/>
  <c r="G85" i="10" s="1"/>
  <c r="G29" i="10"/>
  <c r="G57" i="10" s="1"/>
  <c r="G84" i="10" s="1"/>
  <c r="G28" i="10"/>
  <c r="G56" i="10" s="1"/>
  <c r="G83" i="10" s="1"/>
  <c r="G27" i="10"/>
  <c r="I27" i="10"/>
  <c r="E28" i="10"/>
  <c r="E56" i="10" s="1"/>
  <c r="E83" i="10" s="1"/>
  <c r="M28" i="10"/>
  <c r="M56" i="10" s="1"/>
  <c r="M83" i="10" s="1"/>
  <c r="I29" i="10"/>
  <c r="I57" i="10" s="1"/>
  <c r="E30" i="10"/>
  <c r="E58" i="10" s="1"/>
  <c r="E85" i="10" s="1"/>
  <c r="E31" i="10"/>
  <c r="E59" i="10" s="1"/>
  <c r="E86" i="10" s="1"/>
  <c r="I32" i="10"/>
  <c r="I60" i="10" s="1"/>
  <c r="I87" i="10" s="1"/>
  <c r="M33" i="10"/>
  <c r="M61" i="10" s="1"/>
  <c r="M88" i="10" s="1"/>
  <c r="E35" i="10"/>
  <c r="E63" i="10" s="1"/>
  <c r="E90" i="10" s="1"/>
  <c r="I36" i="10"/>
  <c r="I64" i="10" s="1"/>
  <c r="I91" i="10" s="1"/>
  <c r="I31" i="10"/>
  <c r="I59" i="10" s="1"/>
  <c r="I86" i="10" s="1"/>
  <c r="M32" i="10"/>
  <c r="M60" i="10" s="1"/>
  <c r="M87" i="10" s="1"/>
  <c r="E34" i="10"/>
  <c r="E62" i="10" s="1"/>
  <c r="E89" i="10" s="1"/>
  <c r="I35" i="10"/>
  <c r="I63" i="10" s="1"/>
  <c r="I90" i="10" s="1"/>
  <c r="M36" i="10"/>
  <c r="M64" i="10" s="1"/>
  <c r="M91" i="10" s="1"/>
  <c r="E27" i="10"/>
  <c r="M27" i="10"/>
  <c r="I28" i="10"/>
  <c r="I56" i="10" s="1"/>
  <c r="I83" i="10" s="1"/>
  <c r="E29" i="10"/>
  <c r="E57" i="10" s="1"/>
  <c r="E84" i="10" s="1"/>
  <c r="M29" i="10"/>
  <c r="M57" i="10" s="1"/>
  <c r="M84" i="10" s="1"/>
  <c r="I30" i="10"/>
  <c r="I58" i="10" s="1"/>
  <c r="I85" i="10" s="1"/>
  <c r="M31" i="10"/>
  <c r="M59" i="10" s="1"/>
  <c r="M86" i="10" s="1"/>
  <c r="E33" i="10"/>
  <c r="E61" i="10" s="1"/>
  <c r="E88" i="10" s="1"/>
  <c r="I34" i="10"/>
  <c r="I62" i="10" s="1"/>
  <c r="I89" i="10" s="1"/>
  <c r="M35" i="10"/>
  <c r="M63" i="10" s="1"/>
  <c r="M90" i="10" s="1"/>
  <c r="E37" i="10"/>
  <c r="D37" i="10"/>
  <c r="D36" i="10"/>
  <c r="D64" i="10" s="1"/>
  <c r="D91" i="10" s="1"/>
  <c r="D35" i="10"/>
  <c r="D63" i="10" s="1"/>
  <c r="D90" i="10" s="1"/>
  <c r="D34" i="10"/>
  <c r="D62" i="10" s="1"/>
  <c r="D89" i="10" s="1"/>
  <c r="D33" i="10"/>
  <c r="D61" i="10" s="1"/>
  <c r="D88" i="10" s="1"/>
  <c r="D32" i="10"/>
  <c r="D60" i="10" s="1"/>
  <c r="D87" i="10" s="1"/>
  <c r="D31" i="10"/>
  <c r="D59" i="10" s="1"/>
  <c r="D86" i="10" s="1"/>
  <c r="D30" i="10"/>
  <c r="D58" i="10" s="1"/>
  <c r="D85" i="10" s="1"/>
  <c r="D29" i="10"/>
  <c r="D57" i="10" s="1"/>
  <c r="D84" i="10" s="1"/>
  <c r="D28" i="10"/>
  <c r="D56" i="10" s="1"/>
  <c r="D83" i="10" s="1"/>
  <c r="D27" i="10"/>
  <c r="H37" i="10"/>
  <c r="H36" i="10"/>
  <c r="H64" i="10" s="1"/>
  <c r="H91" i="10" s="1"/>
  <c r="H35" i="10"/>
  <c r="H63" i="10" s="1"/>
  <c r="H90" i="10" s="1"/>
  <c r="H34" i="10"/>
  <c r="H62" i="10" s="1"/>
  <c r="H89" i="10" s="1"/>
  <c r="H33" i="10"/>
  <c r="H61" i="10" s="1"/>
  <c r="H88" i="10" s="1"/>
  <c r="H32" i="10"/>
  <c r="H60" i="10" s="1"/>
  <c r="H87" i="10" s="1"/>
  <c r="H31" i="10"/>
  <c r="H59" i="10" s="1"/>
  <c r="H86" i="10" s="1"/>
  <c r="H30" i="10"/>
  <c r="H58" i="10" s="1"/>
  <c r="H85" i="10" s="1"/>
  <c r="H29" i="10"/>
  <c r="H57" i="10" s="1"/>
  <c r="H84" i="10" s="1"/>
  <c r="H28" i="10"/>
  <c r="H56" i="10" s="1"/>
  <c r="H83" i="10" s="1"/>
  <c r="H27" i="10"/>
  <c r="L37" i="10"/>
  <c r="L36" i="10"/>
  <c r="L64" i="10" s="1"/>
  <c r="L91" i="10" s="1"/>
  <c r="L35" i="10"/>
  <c r="L63" i="10" s="1"/>
  <c r="L90" i="10" s="1"/>
  <c r="L34" i="10"/>
  <c r="L62" i="10" s="1"/>
  <c r="L89" i="10" s="1"/>
  <c r="L33" i="10"/>
  <c r="L61" i="10" s="1"/>
  <c r="L88" i="10" s="1"/>
  <c r="L32" i="10"/>
  <c r="L60" i="10" s="1"/>
  <c r="L87" i="10" s="1"/>
  <c r="L31" i="10"/>
  <c r="L59" i="10" s="1"/>
  <c r="L86" i="10" s="1"/>
  <c r="L30" i="10"/>
  <c r="L58" i="10" s="1"/>
  <c r="L85" i="10" s="1"/>
  <c r="L29" i="10"/>
  <c r="L57" i="10" s="1"/>
  <c r="L84" i="10" s="1"/>
  <c r="L28" i="10"/>
  <c r="L56" i="10" s="1"/>
  <c r="L83" i="10" s="1"/>
  <c r="L27" i="10"/>
  <c r="M30" i="10"/>
  <c r="M58" i="10" s="1"/>
  <c r="M85" i="10" s="1"/>
  <c r="E32" i="10"/>
  <c r="E60" i="10" s="1"/>
  <c r="E87" i="10" s="1"/>
  <c r="I33" i="10"/>
  <c r="I61" i="10" s="1"/>
  <c r="M34" i="10"/>
  <c r="M62" i="10" s="1"/>
  <c r="M89" i="10" s="1"/>
  <c r="F7" i="9"/>
  <c r="J7" i="9"/>
  <c r="C7" i="9"/>
  <c r="G7" i="9"/>
  <c r="K7" i="9"/>
  <c r="J10" i="9"/>
  <c r="C11" i="9"/>
  <c r="G11" i="9"/>
  <c r="K11" i="9"/>
  <c r="F14" i="9"/>
  <c r="C15" i="9"/>
  <c r="G15" i="9"/>
  <c r="K15" i="9"/>
  <c r="J18" i="9"/>
  <c r="A1" i="9"/>
  <c r="D7" i="9"/>
  <c r="H7" i="9"/>
  <c r="L7" i="9"/>
  <c r="F9" i="9"/>
  <c r="J9" i="9"/>
  <c r="C10" i="9"/>
  <c r="G10" i="9"/>
  <c r="K10" i="9"/>
  <c r="D11" i="9"/>
  <c r="H11" i="9"/>
  <c r="L11" i="9"/>
  <c r="F13" i="9"/>
  <c r="J13" i="9"/>
  <c r="C14" i="9"/>
  <c r="G14" i="9"/>
  <c r="K14" i="9"/>
  <c r="D15" i="9"/>
  <c r="H15" i="9"/>
  <c r="L15" i="9"/>
  <c r="F17" i="9"/>
  <c r="J17" i="9"/>
  <c r="C18" i="9"/>
  <c r="G18" i="9"/>
  <c r="K18" i="9"/>
  <c r="F11" i="9"/>
  <c r="J11" i="9"/>
  <c r="F15" i="9"/>
  <c r="J15" i="9"/>
  <c r="F10" i="9"/>
  <c r="J14" i="9"/>
  <c r="F18" i="9"/>
  <c r="E7" i="9"/>
  <c r="F8" i="9"/>
  <c r="C9" i="9"/>
  <c r="G9" i="9"/>
  <c r="D10" i="9"/>
  <c r="H10" i="9"/>
  <c r="E11" i="9"/>
  <c r="F12" i="9"/>
  <c r="C13" i="9"/>
  <c r="G13" i="9"/>
  <c r="D14" i="9"/>
  <c r="H14" i="9"/>
  <c r="E15" i="9"/>
  <c r="F16" i="9"/>
  <c r="C17" i="9"/>
  <c r="G17" i="9"/>
  <c r="D18" i="9"/>
  <c r="H18" i="9"/>
  <c r="A9" i="8"/>
  <c r="J8" i="8"/>
  <c r="F8" i="8"/>
  <c r="I8" i="8"/>
  <c r="E8" i="8"/>
  <c r="L8" i="8"/>
  <c r="H8" i="8"/>
  <c r="D8" i="8"/>
  <c r="K8" i="8"/>
  <c r="G8" i="8"/>
  <c r="C8" i="8"/>
  <c r="C7" i="8"/>
  <c r="G7" i="8"/>
  <c r="K7" i="8"/>
  <c r="D7" i="8"/>
  <c r="H7" i="8"/>
  <c r="L7" i="8"/>
  <c r="E7" i="8"/>
  <c r="I7" i="8"/>
  <c r="F7" i="8"/>
  <c r="J7" i="8"/>
  <c r="E20" i="7"/>
  <c r="M7" i="7"/>
  <c r="O7" i="7" s="1"/>
  <c r="F40" i="6"/>
  <c r="G40" i="6" s="1"/>
  <c r="K8" i="6"/>
  <c r="D8" i="6"/>
  <c r="O8" i="6"/>
  <c r="A9" i="6"/>
  <c r="G32" i="5" l="1"/>
  <c r="G60" i="5" s="1"/>
  <c r="G87" i="5" s="1"/>
  <c r="H18" i="5"/>
  <c r="H15" i="26"/>
  <c r="I21" i="5"/>
  <c r="H35" i="5"/>
  <c r="H63" i="5" s="1"/>
  <c r="H90" i="5" s="1"/>
  <c r="L93" i="29"/>
  <c r="J30" i="5"/>
  <c r="J58" i="5" s="1"/>
  <c r="J85" i="5" s="1"/>
  <c r="L20" i="5"/>
  <c r="K34" i="5"/>
  <c r="K62" i="5" s="1"/>
  <c r="K89" i="5" s="1"/>
  <c r="L17" i="5"/>
  <c r="K31" i="5"/>
  <c r="K59" i="5" s="1"/>
  <c r="K86" i="5" s="1"/>
  <c r="H9" i="3"/>
  <c r="F7" i="4"/>
  <c r="N21" i="42"/>
  <c r="O20" i="42"/>
  <c r="J22" i="5"/>
  <c r="I36" i="5"/>
  <c r="I64" i="5" s="1"/>
  <c r="I91" i="5" s="1"/>
  <c r="L16" i="5"/>
  <c r="K30" i="5"/>
  <c r="K58" i="5" s="1"/>
  <c r="K85" i="5" s="1"/>
  <c r="E8" i="3"/>
  <c r="G8" i="3"/>
  <c r="K8" i="3"/>
  <c r="K8" i="4" s="1"/>
  <c r="A8" i="4"/>
  <c r="A9" i="1" s="1"/>
  <c r="H8" i="3"/>
  <c r="J8" i="3"/>
  <c r="I8" i="3"/>
  <c r="D8" i="3"/>
  <c r="L8" i="3"/>
  <c r="L8" i="4" s="1"/>
  <c r="C8" i="3"/>
  <c r="C8" i="4" s="1"/>
  <c r="F8" i="3"/>
  <c r="F8" i="4" s="1"/>
  <c r="G8" i="4"/>
  <c r="M14" i="31"/>
  <c r="M17" i="36"/>
  <c r="O17" i="36" s="1"/>
  <c r="D9" i="35" s="1"/>
  <c r="K20" i="37"/>
  <c r="D18" i="38"/>
  <c r="H18" i="38"/>
  <c r="H18" i="36" s="1"/>
  <c r="H20" i="36" s="1"/>
  <c r="L18" i="38"/>
  <c r="L18" i="36" s="1"/>
  <c r="L20" i="36" s="1"/>
  <c r="E18" i="38"/>
  <c r="E18" i="36" s="1"/>
  <c r="E20" i="36" s="1"/>
  <c r="I18" i="38"/>
  <c r="I18" i="36" s="1"/>
  <c r="I20" i="36" s="1"/>
  <c r="C18" i="38"/>
  <c r="C18" i="36" s="1"/>
  <c r="K18" i="38"/>
  <c r="K18" i="36" s="1"/>
  <c r="K20" i="36" s="1"/>
  <c r="F18" i="38"/>
  <c r="J18" i="38"/>
  <c r="G18" i="38"/>
  <c r="G18" i="36" s="1"/>
  <c r="G20" i="36" s="1"/>
  <c r="A18" i="36"/>
  <c r="I20" i="37"/>
  <c r="H20" i="37"/>
  <c r="G20" i="37"/>
  <c r="E20" i="37"/>
  <c r="D18" i="36"/>
  <c r="D20" i="36" s="1"/>
  <c r="D20" i="37"/>
  <c r="L20" i="37"/>
  <c r="G71" i="35"/>
  <c r="F56" i="35"/>
  <c r="N18" i="37"/>
  <c r="N20" i="37" s="1"/>
  <c r="C20" i="37"/>
  <c r="F18" i="36"/>
  <c r="F20" i="36" s="1"/>
  <c r="F20" i="37"/>
  <c r="J18" i="36"/>
  <c r="J20" i="36" s="1"/>
  <c r="J20" i="37"/>
  <c r="E18" i="32"/>
  <c r="F18" i="32"/>
  <c r="K18" i="32"/>
  <c r="G18" i="32"/>
  <c r="L18" i="32"/>
  <c r="C18" i="32"/>
  <c r="J18" i="32"/>
  <c r="A18" i="33"/>
  <c r="D18" i="32"/>
  <c r="A1" i="32"/>
  <c r="I18" i="32"/>
  <c r="O14" i="31"/>
  <c r="D17" i="30" s="1"/>
  <c r="F17" i="30" s="1"/>
  <c r="O17" i="30"/>
  <c r="O16" i="30"/>
  <c r="O13" i="31"/>
  <c r="D16" i="30" s="1"/>
  <c r="F16" i="30" s="1"/>
  <c r="G15" i="31"/>
  <c r="F17" i="33"/>
  <c r="F17" i="31" s="1"/>
  <c r="J17" i="33"/>
  <c r="J17" i="31" s="1"/>
  <c r="C17" i="33"/>
  <c r="G17" i="33"/>
  <c r="K17" i="33"/>
  <c r="K17" i="31" s="1"/>
  <c r="D17" i="33"/>
  <c r="D17" i="31" s="1"/>
  <c r="H17" i="33"/>
  <c r="L17" i="33"/>
  <c r="L17" i="31" s="1"/>
  <c r="E17" i="33"/>
  <c r="E17" i="31" s="1"/>
  <c r="I17" i="33"/>
  <c r="I17" i="31" s="1"/>
  <c r="A17" i="31"/>
  <c r="A21" i="30"/>
  <c r="K20" i="30"/>
  <c r="K92" i="34"/>
  <c r="K93" i="34" s="1"/>
  <c r="H15" i="32"/>
  <c r="H15" i="31" s="1"/>
  <c r="G17" i="31"/>
  <c r="O82" i="34"/>
  <c r="L65" i="34"/>
  <c r="L66" i="34" s="1"/>
  <c r="L82" i="34"/>
  <c r="G16" i="32"/>
  <c r="J20" i="32"/>
  <c r="C17" i="31"/>
  <c r="E20" i="32"/>
  <c r="N84" i="34"/>
  <c r="N65" i="34"/>
  <c r="N92" i="34" s="1"/>
  <c r="K66" i="34"/>
  <c r="N14" i="32"/>
  <c r="M82" i="34"/>
  <c r="M65" i="34"/>
  <c r="D16" i="28"/>
  <c r="C16" i="28"/>
  <c r="C16" i="26" s="1"/>
  <c r="I16" i="28"/>
  <c r="E16" i="28"/>
  <c r="E16" i="26" s="1"/>
  <c r="K16" i="28"/>
  <c r="J16" i="28"/>
  <c r="F16" i="28"/>
  <c r="G16" i="28"/>
  <c r="G16" i="26" s="1"/>
  <c r="H16" i="28"/>
  <c r="L16" i="28"/>
  <c r="L16" i="26" s="1"/>
  <c r="A17" i="28"/>
  <c r="L17" i="27"/>
  <c r="F17" i="27"/>
  <c r="K17" i="27"/>
  <c r="G17" i="27"/>
  <c r="A18" i="27"/>
  <c r="J17" i="27"/>
  <c r="D17" i="27"/>
  <c r="E17" i="27"/>
  <c r="C17" i="27"/>
  <c r="I17" i="27"/>
  <c r="L66" i="29"/>
  <c r="H16" i="27"/>
  <c r="N16" i="27" s="1"/>
  <c r="K94" i="29"/>
  <c r="L94" i="29"/>
  <c r="M83" i="29"/>
  <c r="M65" i="29"/>
  <c r="M92" i="29" s="1"/>
  <c r="A16" i="26"/>
  <c r="A20" i="25" s="1"/>
  <c r="N56" i="29"/>
  <c r="N38" i="29"/>
  <c r="M15" i="26"/>
  <c r="F17" i="25"/>
  <c r="O14" i="26"/>
  <c r="D18" i="25" s="1"/>
  <c r="O18" i="25"/>
  <c r="A17" i="26"/>
  <c r="A21" i="25" s="1"/>
  <c r="J16" i="26"/>
  <c r="I16" i="26"/>
  <c r="F16" i="26"/>
  <c r="D16" i="26"/>
  <c r="K16" i="26"/>
  <c r="V11" i="11"/>
  <c r="W11" i="11" s="1"/>
  <c r="AG29" i="11"/>
  <c r="C15" i="22"/>
  <c r="G15" i="22"/>
  <c r="K15" i="22"/>
  <c r="E15" i="22"/>
  <c r="I15" i="22"/>
  <c r="H15" i="22"/>
  <c r="J15" i="22"/>
  <c r="A15" i="23"/>
  <c r="A15" i="21" s="1"/>
  <c r="D15" i="22"/>
  <c r="L15" i="22"/>
  <c r="F15" i="22"/>
  <c r="A16" i="22"/>
  <c r="M94" i="24"/>
  <c r="M96" i="24" s="1"/>
  <c r="O93" i="24"/>
  <c r="P93" i="24" s="1"/>
  <c r="C14" i="23"/>
  <c r="C14" i="21" s="1"/>
  <c r="H14" i="23"/>
  <c r="H14" i="21" s="1"/>
  <c r="D14" i="23"/>
  <c r="L14" i="23"/>
  <c r="L14" i="21" s="1"/>
  <c r="F14" i="23"/>
  <c r="F14" i="21" s="1"/>
  <c r="J14" i="23"/>
  <c r="J14" i="21" s="1"/>
  <c r="K14" i="23"/>
  <c r="I14" i="23"/>
  <c r="G14" i="23"/>
  <c r="G14" i="21" s="1"/>
  <c r="E14" i="23"/>
  <c r="E14" i="21" s="1"/>
  <c r="N14" i="22"/>
  <c r="P11" i="21"/>
  <c r="D14" i="20"/>
  <c r="F14" i="20" s="1"/>
  <c r="M13" i="21"/>
  <c r="O12" i="21"/>
  <c r="P12" i="21" s="1"/>
  <c r="O15" i="20"/>
  <c r="A21" i="20"/>
  <c r="K20" i="20"/>
  <c r="I14" i="21"/>
  <c r="K14" i="21"/>
  <c r="D14" i="21"/>
  <c r="N93" i="19"/>
  <c r="E15" i="18"/>
  <c r="F15" i="18"/>
  <c r="J15" i="18"/>
  <c r="H15" i="18"/>
  <c r="K15" i="18"/>
  <c r="G15" i="18"/>
  <c r="C15" i="18"/>
  <c r="L15" i="18"/>
  <c r="I15" i="18"/>
  <c r="D15" i="18"/>
  <c r="N66" i="19"/>
  <c r="A15" i="16"/>
  <c r="A19" i="15" s="1"/>
  <c r="M95" i="19"/>
  <c r="M96" i="19"/>
  <c r="M97" i="19" s="1"/>
  <c r="D15" i="17"/>
  <c r="H15" i="17"/>
  <c r="L15" i="17"/>
  <c r="C15" i="17"/>
  <c r="G15" i="17"/>
  <c r="K15" i="17"/>
  <c r="J15" i="17"/>
  <c r="F15" i="17"/>
  <c r="A16" i="17"/>
  <c r="A16" i="18" s="1"/>
  <c r="I15" i="17"/>
  <c r="E15" i="17"/>
  <c r="N14" i="17"/>
  <c r="C14" i="16"/>
  <c r="F12" i="15"/>
  <c r="I14" i="16"/>
  <c r="F14" i="16"/>
  <c r="L14" i="16"/>
  <c r="E14" i="16"/>
  <c r="K14" i="16"/>
  <c r="H14" i="16"/>
  <c r="O12" i="16"/>
  <c r="O16" i="15"/>
  <c r="P11" i="16"/>
  <c r="D15" i="15"/>
  <c r="F15" i="15" s="1"/>
  <c r="J14" i="16"/>
  <c r="G14" i="16"/>
  <c r="D14" i="16"/>
  <c r="F14" i="15"/>
  <c r="M13" i="16"/>
  <c r="A16" i="16"/>
  <c r="A20" i="15" s="1"/>
  <c r="AC39" i="11"/>
  <c r="AC40" i="11" s="1"/>
  <c r="AC13" i="11"/>
  <c r="BB27" i="11"/>
  <c r="BB30" i="11" s="1"/>
  <c r="AA29" i="11"/>
  <c r="AD28" i="11" s="1"/>
  <c r="AH38" i="11"/>
  <c r="AI38" i="11" s="1"/>
  <c r="AI40" i="11" s="1"/>
  <c r="AI44" i="11" s="1"/>
  <c r="AJ48" i="11" s="1"/>
  <c r="AJ54" i="11" s="1"/>
  <c r="AJ57" i="11" s="1"/>
  <c r="AO39" i="11"/>
  <c r="AN11" i="11"/>
  <c r="AO11" i="11" s="1"/>
  <c r="AU12" i="11"/>
  <c r="AU13" i="11" s="1"/>
  <c r="AU17" i="11" s="1"/>
  <c r="AV21" i="11" s="1"/>
  <c r="AV27" i="11" s="1"/>
  <c r="AV30" i="11" s="1"/>
  <c r="AH11" i="11"/>
  <c r="AI11" i="11" s="1"/>
  <c r="AI13" i="11" s="1"/>
  <c r="AI17" i="11" s="1"/>
  <c r="AJ21" i="11" s="1"/>
  <c r="AJ27" i="11" s="1"/>
  <c r="AJ30" i="11" s="1"/>
  <c r="AO12" i="11"/>
  <c r="AN38" i="11"/>
  <c r="AO38" i="11" s="1"/>
  <c r="AU39" i="11"/>
  <c r="AU40" i="11" s="1"/>
  <c r="AU44" i="11" s="1"/>
  <c r="AV48" i="11" s="1"/>
  <c r="AV54" i="11" s="1"/>
  <c r="AV57" i="11" s="1"/>
  <c r="D7" i="2"/>
  <c r="C89" i="5"/>
  <c r="I7" i="2"/>
  <c r="C86" i="5"/>
  <c r="J7" i="2"/>
  <c r="F6" i="5"/>
  <c r="D10" i="2" s="1"/>
  <c r="K9" i="2"/>
  <c r="K10" i="2"/>
  <c r="J9" i="2"/>
  <c r="L10" i="2"/>
  <c r="F10" i="2"/>
  <c r="E9" i="2"/>
  <c r="E9" i="4" s="1"/>
  <c r="C9" i="2"/>
  <c r="E10" i="2"/>
  <c r="L9" i="2"/>
  <c r="I10" i="2"/>
  <c r="F9" i="2"/>
  <c r="D9" i="2"/>
  <c r="L9" i="3"/>
  <c r="C83" i="5"/>
  <c r="K7" i="2"/>
  <c r="F38" i="5"/>
  <c r="F55" i="5"/>
  <c r="A11" i="4"/>
  <c r="A15" i="1" s="1"/>
  <c r="K9" i="3"/>
  <c r="J9" i="3"/>
  <c r="F9" i="3"/>
  <c r="F10" i="3"/>
  <c r="C10" i="3"/>
  <c r="H10" i="3"/>
  <c r="J10" i="3"/>
  <c r="I10" i="3"/>
  <c r="K10" i="3"/>
  <c r="D10" i="3"/>
  <c r="E10" i="3"/>
  <c r="G10" i="3"/>
  <c r="A10" i="4"/>
  <c r="A14" i="1" s="1"/>
  <c r="L10" i="3"/>
  <c r="C91" i="5"/>
  <c r="L7" i="2"/>
  <c r="I14" i="5"/>
  <c r="H28" i="5"/>
  <c r="H56" i="5" s="1"/>
  <c r="H83" i="5" s="1"/>
  <c r="M20" i="7"/>
  <c r="D8" i="2"/>
  <c r="D89" i="5"/>
  <c r="G28" i="5"/>
  <c r="G56" i="5" s="1"/>
  <c r="G83" i="5" s="1"/>
  <c r="C55" i="5"/>
  <c r="C38" i="5"/>
  <c r="E8" i="4"/>
  <c r="G27" i="5"/>
  <c r="H13" i="5"/>
  <c r="K23" i="5"/>
  <c r="J37" i="5"/>
  <c r="K33" i="5"/>
  <c r="K61" i="5" s="1"/>
  <c r="L19" i="5"/>
  <c r="B34" i="1"/>
  <c r="D9" i="3"/>
  <c r="C9" i="3"/>
  <c r="A13" i="2"/>
  <c r="A12" i="3"/>
  <c r="E38" i="5"/>
  <c r="E55" i="5"/>
  <c r="G9" i="2" s="1"/>
  <c r="D59" i="5"/>
  <c r="D38" i="5"/>
  <c r="G9" i="3"/>
  <c r="I9" i="3"/>
  <c r="I9" i="4" s="1"/>
  <c r="J15" i="5"/>
  <c r="I29" i="5"/>
  <c r="I57" i="5" s="1"/>
  <c r="H55" i="10"/>
  <c r="H38" i="10"/>
  <c r="E55" i="10"/>
  <c r="E38" i="10"/>
  <c r="G55" i="10"/>
  <c r="G38" i="10"/>
  <c r="F38" i="10"/>
  <c r="F55" i="10"/>
  <c r="O85" i="10"/>
  <c r="O89" i="10"/>
  <c r="L55" i="10"/>
  <c r="L38" i="10"/>
  <c r="N38" i="10"/>
  <c r="N55" i="10"/>
  <c r="C55" i="10"/>
  <c r="C38" i="10"/>
  <c r="O86" i="10"/>
  <c r="O90" i="10"/>
  <c r="K55" i="10"/>
  <c r="K38" i="10"/>
  <c r="O83" i="10"/>
  <c r="O87" i="10"/>
  <c r="O91" i="10"/>
  <c r="D55" i="10"/>
  <c r="D38" i="10"/>
  <c r="M55" i="10"/>
  <c r="M38" i="10"/>
  <c r="I55" i="10"/>
  <c r="I38" i="10"/>
  <c r="J38" i="10"/>
  <c r="J55" i="10"/>
  <c r="O84" i="10"/>
  <c r="O88" i="10"/>
  <c r="N7" i="8"/>
  <c r="N8" i="8"/>
  <c r="A10" i="8"/>
  <c r="J9" i="8"/>
  <c r="F9" i="8"/>
  <c r="I9" i="8"/>
  <c r="E9" i="8"/>
  <c r="L9" i="8"/>
  <c r="H9" i="8"/>
  <c r="D9" i="8"/>
  <c r="K9" i="8"/>
  <c r="G9" i="8"/>
  <c r="C9" i="8"/>
  <c r="O20" i="7"/>
  <c r="P20" i="7" s="1"/>
  <c r="O5" i="7" s="1"/>
  <c r="P7" i="7"/>
  <c r="O9" i="6"/>
  <c r="D9" i="6"/>
  <c r="F9" i="6" s="1"/>
  <c r="K9" i="6"/>
  <c r="A10" i="6"/>
  <c r="F8" i="6"/>
  <c r="K94" i="34" l="1"/>
  <c r="K96" i="34" s="1"/>
  <c r="O20" i="35"/>
  <c r="M20" i="5"/>
  <c r="L34" i="5"/>
  <c r="L62" i="5" s="1"/>
  <c r="L89" i="5" s="1"/>
  <c r="J21" i="5"/>
  <c r="I35" i="5"/>
  <c r="I63" i="5" s="1"/>
  <c r="I90" i="5" s="1"/>
  <c r="M16" i="5"/>
  <c r="L30" i="5"/>
  <c r="L58" i="5" s="1"/>
  <c r="L85" i="5" s="1"/>
  <c r="M66" i="29"/>
  <c r="N15" i="32"/>
  <c r="M17" i="5"/>
  <c r="L31" i="5"/>
  <c r="L59" i="5" s="1"/>
  <c r="L86" i="5" s="1"/>
  <c r="H32" i="5"/>
  <c r="H60" i="5" s="1"/>
  <c r="H87" i="5" s="1"/>
  <c r="I18" i="5"/>
  <c r="C10" i="2"/>
  <c r="I15" i="16"/>
  <c r="K15" i="16"/>
  <c r="M93" i="29"/>
  <c r="M94" i="29" s="1"/>
  <c r="D20" i="35"/>
  <c r="K22" i="5"/>
  <c r="J36" i="5"/>
  <c r="J64" i="5" s="1"/>
  <c r="J91" i="5" s="1"/>
  <c r="D10" i="4"/>
  <c r="M18" i="36"/>
  <c r="C20" i="36"/>
  <c r="M20" i="36" s="1"/>
  <c r="N21" i="37"/>
  <c r="O20" i="37"/>
  <c r="F9" i="35"/>
  <c r="D11" i="35"/>
  <c r="C20" i="32"/>
  <c r="M92" i="34"/>
  <c r="M93" i="34" s="1"/>
  <c r="H17" i="32"/>
  <c r="O84" i="34"/>
  <c r="N93" i="34"/>
  <c r="M15" i="31"/>
  <c r="C18" i="33"/>
  <c r="C18" i="31" s="1"/>
  <c r="F18" i="33"/>
  <c r="J18" i="33"/>
  <c r="J18" i="31" s="1"/>
  <c r="J20" i="31" s="1"/>
  <c r="I18" i="33"/>
  <c r="I18" i="31" s="1"/>
  <c r="I20" i="31" s="1"/>
  <c r="L18" i="33"/>
  <c r="K18" i="33"/>
  <c r="A1" i="33"/>
  <c r="E18" i="33"/>
  <c r="H18" i="33"/>
  <c r="G18" i="33"/>
  <c r="D18" i="33"/>
  <c r="D18" i="31" s="1"/>
  <c r="D20" i="31" s="1"/>
  <c r="A18" i="31"/>
  <c r="A1" i="31" s="1"/>
  <c r="L20" i="32"/>
  <c r="L18" i="31"/>
  <c r="L20" i="31" s="1"/>
  <c r="E18" i="31"/>
  <c r="E20" i="31" s="1"/>
  <c r="G16" i="31"/>
  <c r="D20" i="32"/>
  <c r="F20" i="32"/>
  <c r="F18" i="31"/>
  <c r="F20" i="31" s="1"/>
  <c r="M66" i="34"/>
  <c r="A3" i="30"/>
  <c r="K21" i="30"/>
  <c r="C41" i="30"/>
  <c r="I20" i="32"/>
  <c r="G18" i="31"/>
  <c r="N66" i="34"/>
  <c r="L92" i="34"/>
  <c r="O92" i="34" s="1"/>
  <c r="H16" i="32"/>
  <c r="H16" i="31" s="1"/>
  <c r="G20" i="32"/>
  <c r="H18" i="32"/>
  <c r="K20" i="32"/>
  <c r="K18" i="31"/>
  <c r="K20" i="31" s="1"/>
  <c r="L95" i="29"/>
  <c r="L96" i="29"/>
  <c r="L97" i="29" s="1"/>
  <c r="H17" i="27"/>
  <c r="C17" i="28"/>
  <c r="C17" i="26" s="1"/>
  <c r="F17" i="28"/>
  <c r="J17" i="28"/>
  <c r="J17" i="26" s="1"/>
  <c r="L17" i="28"/>
  <c r="I17" i="28"/>
  <c r="I17" i="26" s="1"/>
  <c r="H17" i="28"/>
  <c r="K17" i="28"/>
  <c r="K17" i="26" s="1"/>
  <c r="E17" i="28"/>
  <c r="E17" i="26" s="1"/>
  <c r="D17" i="28"/>
  <c r="D17" i="26" s="1"/>
  <c r="G17" i="28"/>
  <c r="G17" i="26" s="1"/>
  <c r="N83" i="29"/>
  <c r="N65" i="29"/>
  <c r="N92" i="29" s="1"/>
  <c r="H16" i="26"/>
  <c r="M16" i="26" s="1"/>
  <c r="K95" i="29"/>
  <c r="K96" i="29"/>
  <c r="K97" i="29" s="1"/>
  <c r="M95" i="29"/>
  <c r="M96" i="29"/>
  <c r="M97" i="29" s="1"/>
  <c r="N17" i="27"/>
  <c r="A18" i="28"/>
  <c r="D18" i="27"/>
  <c r="D20" i="27" s="1"/>
  <c r="I18" i="27"/>
  <c r="I20" i="27" s="1"/>
  <c r="K18" i="27"/>
  <c r="K20" i="27" s="1"/>
  <c r="E18" i="27"/>
  <c r="E20" i="27" s="1"/>
  <c r="F18" i="27"/>
  <c r="F20" i="27" s="1"/>
  <c r="C18" i="27"/>
  <c r="G18" i="27"/>
  <c r="G20" i="27" s="1"/>
  <c r="L18" i="27"/>
  <c r="L20" i="27" s="1"/>
  <c r="J18" i="27"/>
  <c r="J20" i="27" s="1"/>
  <c r="A1" i="27"/>
  <c r="O15" i="26"/>
  <c r="D19" i="25" s="1"/>
  <c r="F19" i="25" s="1"/>
  <c r="O19" i="25"/>
  <c r="F18" i="25"/>
  <c r="L17" i="26"/>
  <c r="H17" i="26"/>
  <c r="F17" i="26"/>
  <c r="A18" i="26"/>
  <c r="C16" i="22"/>
  <c r="G16" i="22"/>
  <c r="K16" i="22"/>
  <c r="A16" i="23"/>
  <c r="E16" i="22"/>
  <c r="I16" i="22"/>
  <c r="D16" i="22"/>
  <c r="L16" i="22"/>
  <c r="F16" i="22"/>
  <c r="H16" i="22"/>
  <c r="J16" i="22"/>
  <c r="A17" i="22"/>
  <c r="C15" i="23"/>
  <c r="G15" i="23"/>
  <c r="G15" i="21" s="1"/>
  <c r="K15" i="23"/>
  <c r="K15" i="21" s="1"/>
  <c r="E15" i="23"/>
  <c r="I15" i="23"/>
  <c r="F15" i="23"/>
  <c r="H15" i="23"/>
  <c r="H15" i="21" s="1"/>
  <c r="J15" i="23"/>
  <c r="J15" i="21" s="1"/>
  <c r="D15" i="23"/>
  <c r="L15" i="23"/>
  <c r="L15" i="21" s="1"/>
  <c r="N15" i="22"/>
  <c r="M14" i="21"/>
  <c r="O14" i="21" s="1"/>
  <c r="O13" i="21"/>
  <c r="O16" i="20"/>
  <c r="A3" i="20"/>
  <c r="K21" i="20"/>
  <c r="C37" i="20"/>
  <c r="D15" i="21"/>
  <c r="E15" i="21"/>
  <c r="F15" i="21"/>
  <c r="I15" i="21"/>
  <c r="C15" i="21"/>
  <c r="A16" i="21"/>
  <c r="D16" i="18"/>
  <c r="C16" i="18"/>
  <c r="F16" i="18"/>
  <c r="K16" i="18"/>
  <c r="G16" i="18"/>
  <c r="I16" i="18"/>
  <c r="E16" i="18"/>
  <c r="J16" i="18"/>
  <c r="L16" i="18"/>
  <c r="H16" i="18"/>
  <c r="N94" i="19"/>
  <c r="O93" i="19"/>
  <c r="P93" i="19" s="1"/>
  <c r="M14" i="16"/>
  <c r="F15" i="16"/>
  <c r="C15" i="16"/>
  <c r="N15" i="17"/>
  <c r="O13" i="16"/>
  <c r="O17" i="15"/>
  <c r="E15" i="16"/>
  <c r="J15" i="16"/>
  <c r="L15" i="16"/>
  <c r="P12" i="16"/>
  <c r="D16" i="15"/>
  <c r="H15" i="16"/>
  <c r="D16" i="17"/>
  <c r="H16" i="17"/>
  <c r="L16" i="17"/>
  <c r="C16" i="17"/>
  <c r="G16" i="17"/>
  <c r="G16" i="16" s="1"/>
  <c r="K16" i="17"/>
  <c r="F16" i="17"/>
  <c r="A17" i="17"/>
  <c r="A17" i="18" s="1"/>
  <c r="A17" i="16" s="1"/>
  <c r="A21" i="15" s="1"/>
  <c r="J16" i="17"/>
  <c r="E16" i="17"/>
  <c r="I16" i="17"/>
  <c r="G15" i="16"/>
  <c r="D15" i="16"/>
  <c r="AO40" i="11"/>
  <c r="AO44" i="11" s="1"/>
  <c r="AP48" i="11" s="1"/>
  <c r="AP54" i="11" s="1"/>
  <c r="AP57" i="11" s="1"/>
  <c r="AO13" i="11"/>
  <c r="AO17" i="11" s="1"/>
  <c r="AP21" i="11" s="1"/>
  <c r="AP27" i="11" s="1"/>
  <c r="AP30" i="11" s="1"/>
  <c r="J8" i="2"/>
  <c r="J8" i="4" s="1"/>
  <c r="I8" i="2"/>
  <c r="I8" i="4" s="1"/>
  <c r="D86" i="5"/>
  <c r="D66" i="5"/>
  <c r="D65" i="5"/>
  <c r="D8" i="4"/>
  <c r="F65" i="5"/>
  <c r="F82" i="5"/>
  <c r="F66" i="5"/>
  <c r="G10" i="2"/>
  <c r="G10" i="4" s="1"/>
  <c r="C9" i="4"/>
  <c r="E65" i="5"/>
  <c r="E66" i="5" s="1"/>
  <c r="E82" i="5"/>
  <c r="G38" i="5"/>
  <c r="G55" i="5"/>
  <c r="C82" i="5"/>
  <c r="G7" i="2"/>
  <c r="C65" i="5"/>
  <c r="C66" i="5" s="1"/>
  <c r="D9" i="4"/>
  <c r="L9" i="4"/>
  <c r="J9" i="4"/>
  <c r="G6" i="5"/>
  <c r="J10" i="2"/>
  <c r="J10" i="4" s="1"/>
  <c r="K15" i="5"/>
  <c r="J29" i="5"/>
  <c r="J57" i="5" s="1"/>
  <c r="A14" i="2"/>
  <c r="A13" i="3"/>
  <c r="A12" i="4"/>
  <c r="A16" i="1" s="1"/>
  <c r="L23" i="5"/>
  <c r="K37" i="5"/>
  <c r="K7" i="4"/>
  <c r="F9" i="4"/>
  <c r="E10" i="4"/>
  <c r="F10" i="4"/>
  <c r="K10" i="4"/>
  <c r="J7" i="4"/>
  <c r="D7" i="4"/>
  <c r="I13" i="5"/>
  <c r="H27" i="5"/>
  <c r="L7" i="4"/>
  <c r="G9" i="4"/>
  <c r="C10" i="4"/>
  <c r="I7" i="4"/>
  <c r="M19" i="5"/>
  <c r="L33" i="5"/>
  <c r="L61" i="5" s="1"/>
  <c r="J14" i="5"/>
  <c r="I28" i="5"/>
  <c r="I56" i="5" s="1"/>
  <c r="I83" i="5" s="1"/>
  <c r="I10" i="4"/>
  <c r="L10" i="4"/>
  <c r="K9" i="4"/>
  <c r="I65" i="10"/>
  <c r="I92" i="10" s="1"/>
  <c r="I82" i="10"/>
  <c r="D82" i="10"/>
  <c r="D65" i="10"/>
  <c r="D92" i="10" s="1"/>
  <c r="F82" i="10"/>
  <c r="F93" i="10" s="1"/>
  <c r="F65" i="10"/>
  <c r="F92" i="10" s="1"/>
  <c r="J82" i="10"/>
  <c r="J65" i="10"/>
  <c r="J92" i="10" s="1"/>
  <c r="K82" i="10"/>
  <c r="K65" i="10"/>
  <c r="K92" i="10" s="1"/>
  <c r="C82" i="10"/>
  <c r="C65" i="10"/>
  <c r="C66" i="10" s="1"/>
  <c r="L82" i="10"/>
  <c r="L93" i="10" s="1"/>
  <c r="L65" i="10"/>
  <c r="L92" i="10" s="1"/>
  <c r="E65" i="10"/>
  <c r="E92" i="10" s="1"/>
  <c r="E82" i="10"/>
  <c r="M65" i="10"/>
  <c r="M92" i="10" s="1"/>
  <c r="M82" i="10"/>
  <c r="N82" i="10"/>
  <c r="N65" i="10"/>
  <c r="N92" i="10" s="1"/>
  <c r="G82" i="10"/>
  <c r="G65" i="10"/>
  <c r="G92" i="10" s="1"/>
  <c r="H82" i="10"/>
  <c r="H65" i="10"/>
  <c r="H92" i="10" s="1"/>
  <c r="A11" i="8"/>
  <c r="J10" i="8"/>
  <c r="F10" i="8"/>
  <c r="I10" i="8"/>
  <c r="E10" i="8"/>
  <c r="L10" i="8"/>
  <c r="H10" i="8"/>
  <c r="D10" i="8"/>
  <c r="K10" i="8"/>
  <c r="G10" i="8"/>
  <c r="C10" i="8"/>
  <c r="N9" i="8"/>
  <c r="A13" i="6"/>
  <c r="O10" i="6"/>
  <c r="D10" i="6"/>
  <c r="F10" i="6" s="1"/>
  <c r="K10" i="6"/>
  <c r="C33" i="6"/>
  <c r="E93" i="10" l="1"/>
  <c r="M94" i="34"/>
  <c r="M96" i="34" s="1"/>
  <c r="J18" i="5"/>
  <c r="I32" i="5"/>
  <c r="I60" i="5" s="1"/>
  <c r="I87" i="5" s="1"/>
  <c r="N16" i="5"/>
  <c r="M30" i="5"/>
  <c r="M58" i="5" s="1"/>
  <c r="M85" i="5" s="1"/>
  <c r="N20" i="5"/>
  <c r="M34" i="5"/>
  <c r="M62" i="5" s="1"/>
  <c r="M89" i="5" s="1"/>
  <c r="G66" i="10"/>
  <c r="M93" i="10"/>
  <c r="K66" i="10"/>
  <c r="D93" i="10"/>
  <c r="O36" i="35"/>
  <c r="E43" i="11"/>
  <c r="L22" i="5"/>
  <c r="K36" i="5"/>
  <c r="K64" i="5" s="1"/>
  <c r="K91" i="5" s="1"/>
  <c r="H18" i="27"/>
  <c r="H20" i="27" s="1"/>
  <c r="N66" i="29"/>
  <c r="N17" i="5"/>
  <c r="M31" i="5"/>
  <c r="M59" i="5" s="1"/>
  <c r="M86" i="5" s="1"/>
  <c r="K21" i="5"/>
  <c r="J35" i="5"/>
  <c r="J63" i="5" s="1"/>
  <c r="J90" i="5" s="1"/>
  <c r="D23" i="35"/>
  <c r="D25" i="35" s="1"/>
  <c r="O18" i="36"/>
  <c r="O21" i="35"/>
  <c r="C20" i="31"/>
  <c r="L93" i="34"/>
  <c r="L94" i="34" s="1"/>
  <c r="L96" i="34" s="1"/>
  <c r="H18" i="31"/>
  <c r="H20" i="32"/>
  <c r="G20" i="31"/>
  <c r="N18" i="32"/>
  <c r="N94" i="34"/>
  <c r="N96" i="34" s="1"/>
  <c r="N16" i="32"/>
  <c r="B58" i="30"/>
  <c r="B52" i="30"/>
  <c r="F56" i="30"/>
  <c r="G61" i="30"/>
  <c r="B50" i="30"/>
  <c r="G71" i="30"/>
  <c r="M16" i="31"/>
  <c r="O18" i="30"/>
  <c r="O15" i="31"/>
  <c r="D18" i="30" s="1"/>
  <c r="H17" i="31"/>
  <c r="M17" i="31" s="1"/>
  <c r="N17" i="32"/>
  <c r="C18" i="28"/>
  <c r="C18" i="26" s="1"/>
  <c r="G18" i="28"/>
  <c r="G18" i="26" s="1"/>
  <c r="G20" i="26" s="1"/>
  <c r="K18" i="28"/>
  <c r="H18" i="28"/>
  <c r="H18" i="26" s="1"/>
  <c r="H20" i="26" s="1"/>
  <c r="D18" i="28"/>
  <c r="L18" i="28"/>
  <c r="F18" i="28"/>
  <c r="J18" i="28"/>
  <c r="J18" i="26" s="1"/>
  <c r="J20" i="26" s="1"/>
  <c r="E18" i="28"/>
  <c r="I18" i="28"/>
  <c r="I18" i="26" s="1"/>
  <c r="I20" i="26" s="1"/>
  <c r="A1" i="28"/>
  <c r="N18" i="27"/>
  <c r="N20" i="27" s="1"/>
  <c r="C20" i="27"/>
  <c r="N93" i="29"/>
  <c r="M17" i="26"/>
  <c r="O16" i="26"/>
  <c r="D20" i="25" s="1"/>
  <c r="O20" i="25"/>
  <c r="A22" i="25"/>
  <c r="A1" i="26"/>
  <c r="F18" i="26"/>
  <c r="F20" i="26" s="1"/>
  <c r="E18" i="26"/>
  <c r="E20" i="26" s="1"/>
  <c r="D18" i="26"/>
  <c r="D20" i="26" s="1"/>
  <c r="K18" i="26"/>
  <c r="K20" i="26" s="1"/>
  <c r="L18" i="26"/>
  <c r="L20" i="26" s="1"/>
  <c r="N10" i="8"/>
  <c r="A17" i="23"/>
  <c r="C17" i="22"/>
  <c r="G17" i="22"/>
  <c r="K17" i="22"/>
  <c r="E17" i="22"/>
  <c r="I17" i="22"/>
  <c r="H17" i="22"/>
  <c r="J17" i="22"/>
  <c r="D17" i="22"/>
  <c r="L17" i="22"/>
  <c r="F17" i="22"/>
  <c r="A18" i="22"/>
  <c r="E16" i="23"/>
  <c r="J16" i="23"/>
  <c r="J16" i="21" s="1"/>
  <c r="D16" i="23"/>
  <c r="D16" i="21" s="1"/>
  <c r="G16" i="23"/>
  <c r="G16" i="21" s="1"/>
  <c r="F16" i="23"/>
  <c r="I16" i="23"/>
  <c r="C16" i="23"/>
  <c r="L16" i="23"/>
  <c r="L16" i="21" s="1"/>
  <c r="H16" i="23"/>
  <c r="H16" i="21" s="1"/>
  <c r="K16" i="23"/>
  <c r="K16" i="21" s="1"/>
  <c r="N16" i="22"/>
  <c r="P14" i="21"/>
  <c r="D17" i="20"/>
  <c r="F17" i="20" s="1"/>
  <c r="M15" i="21"/>
  <c r="P13" i="21"/>
  <c r="D16" i="20"/>
  <c r="F16" i="20" s="1"/>
  <c r="B46" i="20"/>
  <c r="B54" i="20"/>
  <c r="G57" i="20"/>
  <c r="G67" i="20"/>
  <c r="B48" i="20"/>
  <c r="F52" i="20"/>
  <c r="I16" i="21"/>
  <c r="E16" i="21"/>
  <c r="F16" i="21"/>
  <c r="C16" i="21"/>
  <c r="A17" i="21"/>
  <c r="N96" i="19"/>
  <c r="N97" i="19" s="1"/>
  <c r="N95" i="19"/>
  <c r="C17" i="18"/>
  <c r="H17" i="18"/>
  <c r="J17" i="18"/>
  <c r="D17" i="18"/>
  <c r="L17" i="18"/>
  <c r="F17" i="18"/>
  <c r="I17" i="18"/>
  <c r="E17" i="18"/>
  <c r="K17" i="18"/>
  <c r="G17" i="18"/>
  <c r="J16" i="16"/>
  <c r="D16" i="16"/>
  <c r="D17" i="17"/>
  <c r="H17" i="17"/>
  <c r="H17" i="16" s="1"/>
  <c r="L17" i="17"/>
  <c r="C17" i="17"/>
  <c r="G17" i="17"/>
  <c r="K17" i="17"/>
  <c r="J17" i="17"/>
  <c r="F17" i="17"/>
  <c r="A18" i="17"/>
  <c r="A18" i="18" s="1"/>
  <c r="I17" i="17"/>
  <c r="E17" i="17"/>
  <c r="C16" i="16"/>
  <c r="N16" i="17"/>
  <c r="P13" i="16"/>
  <c r="D17" i="15"/>
  <c r="F17" i="15" s="1"/>
  <c r="M15" i="16"/>
  <c r="I16" i="16"/>
  <c r="F16" i="16"/>
  <c r="L16" i="16"/>
  <c r="E16" i="16"/>
  <c r="K16" i="16"/>
  <c r="H16" i="16"/>
  <c r="F16" i="15"/>
  <c r="O14" i="16"/>
  <c r="O18" i="15"/>
  <c r="A18" i="16"/>
  <c r="H55" i="5"/>
  <c r="H38" i="5"/>
  <c r="G7" i="4"/>
  <c r="D11" i="6"/>
  <c r="N93" i="10"/>
  <c r="K14" i="5"/>
  <c r="J28" i="5"/>
  <c r="J56" i="5" s="1"/>
  <c r="J83" i="5" s="1"/>
  <c r="J13" i="5"/>
  <c r="I27" i="5"/>
  <c r="A13" i="4"/>
  <c r="A17" i="1" s="1"/>
  <c r="H6" i="5"/>
  <c r="I12" i="2" s="1"/>
  <c r="C11" i="2"/>
  <c r="E11" i="2"/>
  <c r="K11" i="3"/>
  <c r="F11" i="3"/>
  <c r="G11" i="3"/>
  <c r="K11" i="2"/>
  <c r="J12" i="2"/>
  <c r="C12" i="2"/>
  <c r="E11" i="3"/>
  <c r="D11" i="2"/>
  <c r="C11" i="3"/>
  <c r="I11" i="3"/>
  <c r="L11" i="3"/>
  <c r="J11" i="2"/>
  <c r="E12" i="2"/>
  <c r="L11" i="2"/>
  <c r="G11" i="2"/>
  <c r="J11" i="3"/>
  <c r="D11" i="3"/>
  <c r="K12" i="2"/>
  <c r="F11" i="2"/>
  <c r="H11" i="3"/>
  <c r="L12" i="2"/>
  <c r="N19" i="5"/>
  <c r="M33" i="5"/>
  <c r="M61" i="5" s="1"/>
  <c r="A15" i="2"/>
  <c r="A14" i="3"/>
  <c r="M23" i="5"/>
  <c r="L37" i="5"/>
  <c r="L15" i="5"/>
  <c r="K29" i="5"/>
  <c r="K57" i="5" s="1"/>
  <c r="F92" i="5"/>
  <c r="F93" i="5" s="1"/>
  <c r="F94" i="5" s="1"/>
  <c r="F96" i="5" s="1"/>
  <c r="F97" i="5" s="1"/>
  <c r="H10" i="2"/>
  <c r="G93" i="10"/>
  <c r="G94" i="10" s="1"/>
  <c r="G96" i="10" s="1"/>
  <c r="L66" i="10"/>
  <c r="L94" i="10" s="1"/>
  <c r="L96" i="10" s="1"/>
  <c r="J66" i="10"/>
  <c r="F66" i="10"/>
  <c r="F94" i="10" s="1"/>
  <c r="F96" i="10" s="1"/>
  <c r="I93" i="10"/>
  <c r="I11" i="2"/>
  <c r="H7" i="2"/>
  <c r="C92" i="5"/>
  <c r="C93" i="5" s="1"/>
  <c r="C52" i="5"/>
  <c r="G65" i="5"/>
  <c r="G92" i="5" s="1"/>
  <c r="G66" i="5"/>
  <c r="G82" i="5"/>
  <c r="G93" i="5" s="1"/>
  <c r="E92" i="5"/>
  <c r="E93" i="5" s="1"/>
  <c r="E94" i="5" s="1"/>
  <c r="E96" i="5" s="1"/>
  <c r="E97" i="5" s="1"/>
  <c r="H9" i="2"/>
  <c r="H8" i="2"/>
  <c r="D92" i="5"/>
  <c r="D93" i="5" s="1"/>
  <c r="D94" i="5" s="1"/>
  <c r="D96" i="5" s="1"/>
  <c r="D97" i="5" s="1"/>
  <c r="O82" i="10"/>
  <c r="H66" i="10"/>
  <c r="H93" i="10"/>
  <c r="E66" i="10"/>
  <c r="E94" i="10" s="1"/>
  <c r="E96" i="10" s="1"/>
  <c r="J93" i="10"/>
  <c r="J94" i="10" s="1"/>
  <c r="J96" i="10" s="1"/>
  <c r="N66" i="10"/>
  <c r="N94" i="10" s="1"/>
  <c r="N96" i="10" s="1"/>
  <c r="M66" i="10"/>
  <c r="M94" i="10" s="1"/>
  <c r="M96" i="10" s="1"/>
  <c r="C92" i="10"/>
  <c r="O92" i="10" s="1"/>
  <c r="C52" i="10"/>
  <c r="K93" i="10"/>
  <c r="K94" i="10" s="1"/>
  <c r="K96" i="10" s="1"/>
  <c r="D66" i="10"/>
  <c r="D94" i="10" s="1"/>
  <c r="D96" i="10" s="1"/>
  <c r="I66" i="10"/>
  <c r="A12" i="8"/>
  <c r="J11" i="8"/>
  <c r="F11" i="8"/>
  <c r="I11" i="8"/>
  <c r="E11" i="8"/>
  <c r="L11" i="8"/>
  <c r="H11" i="8"/>
  <c r="D11" i="8"/>
  <c r="K11" i="8"/>
  <c r="G11" i="8"/>
  <c r="C11" i="8"/>
  <c r="A14" i="6"/>
  <c r="K13" i="6"/>
  <c r="O13" i="6"/>
  <c r="D13" i="6"/>
  <c r="F13" i="6" s="1"/>
  <c r="C94" i="5" l="1"/>
  <c r="C96" i="5" s="1"/>
  <c r="C97" i="5" s="1"/>
  <c r="T73" i="5"/>
  <c r="S73" i="5"/>
  <c r="N31" i="5"/>
  <c r="N59" i="5" s="1"/>
  <c r="N86" i="5" s="1"/>
  <c r="M22" i="5"/>
  <c r="L36" i="5"/>
  <c r="L64" i="5" s="1"/>
  <c r="L91" i="5" s="1"/>
  <c r="S76" i="5"/>
  <c r="N34" i="5"/>
  <c r="N62" i="5" s="1"/>
  <c r="N89" i="5" s="1"/>
  <c r="T76" i="5"/>
  <c r="J32" i="5"/>
  <c r="J60" i="5" s="1"/>
  <c r="J87" i="5" s="1"/>
  <c r="K18" i="5"/>
  <c r="H94" i="10"/>
  <c r="H96" i="10" s="1"/>
  <c r="F12" i="2"/>
  <c r="G11" i="4"/>
  <c r="D12" i="2"/>
  <c r="E52" i="11"/>
  <c r="F52" i="11" s="1"/>
  <c r="I94" i="10"/>
  <c r="I96" i="10" s="1"/>
  <c r="L21" i="5"/>
  <c r="K35" i="5"/>
  <c r="K63" i="5" s="1"/>
  <c r="K90" i="5" s="1"/>
  <c r="N30" i="5"/>
  <c r="N58" i="5" s="1"/>
  <c r="N85" i="5" s="1"/>
  <c r="T72" i="5"/>
  <c r="S72" i="5"/>
  <c r="E17" i="16"/>
  <c r="L17" i="16"/>
  <c r="J11" i="4"/>
  <c r="D27" i="35"/>
  <c r="F27" i="35" s="1"/>
  <c r="F25" i="35"/>
  <c r="G34" i="35"/>
  <c r="G47" i="35" s="1"/>
  <c r="O20" i="36"/>
  <c r="E44" i="11" s="1"/>
  <c r="O19" i="35"/>
  <c r="O25" i="35" s="1"/>
  <c r="O26" i="35" s="1"/>
  <c r="O17" i="31"/>
  <c r="D20" i="30" s="1"/>
  <c r="O20" i="30"/>
  <c r="F18" i="30"/>
  <c r="N20" i="32"/>
  <c r="H20" i="31"/>
  <c r="M20" i="31" s="1"/>
  <c r="O36" i="30" s="1"/>
  <c r="O16" i="31"/>
  <c r="D19" i="30" s="1"/>
  <c r="F19" i="30" s="1"/>
  <c r="O19" i="30"/>
  <c r="O93" i="34"/>
  <c r="P93" i="34" s="1"/>
  <c r="M18" i="31"/>
  <c r="N94" i="29"/>
  <c r="O93" i="29"/>
  <c r="P93" i="29" s="1"/>
  <c r="O20" i="27"/>
  <c r="N21" i="27"/>
  <c r="A3" i="25"/>
  <c r="B44" i="25"/>
  <c r="M18" i="26"/>
  <c r="O18" i="26" s="1"/>
  <c r="C20" i="26"/>
  <c r="M20" i="26" s="1"/>
  <c r="F20" i="25"/>
  <c r="O17" i="26"/>
  <c r="D21" i="25" s="1"/>
  <c r="F21" i="25" s="1"/>
  <c r="O21" i="25"/>
  <c r="A1" i="22"/>
  <c r="A18" i="23"/>
  <c r="C18" i="22"/>
  <c r="C20" i="22" s="1"/>
  <c r="G18" i="22"/>
  <c r="G20" i="22" s="1"/>
  <c r="K18" i="22"/>
  <c r="K20" i="22" s="1"/>
  <c r="E18" i="22"/>
  <c r="E20" i="22" s="1"/>
  <c r="I18" i="22"/>
  <c r="I20" i="22" s="1"/>
  <c r="D18" i="22"/>
  <c r="D20" i="22" s="1"/>
  <c r="L18" i="22"/>
  <c r="L20" i="22" s="1"/>
  <c r="F18" i="22"/>
  <c r="F20" i="22" s="1"/>
  <c r="H18" i="22"/>
  <c r="H20" i="22" s="1"/>
  <c r="J18" i="22"/>
  <c r="J20" i="22" s="1"/>
  <c r="N17" i="22"/>
  <c r="D17" i="23"/>
  <c r="G17" i="23"/>
  <c r="G17" i="21" s="1"/>
  <c r="E17" i="23"/>
  <c r="E17" i="21" s="1"/>
  <c r="J17" i="23"/>
  <c r="J17" i="21" s="1"/>
  <c r="K17" i="23"/>
  <c r="K17" i="21" s="1"/>
  <c r="F17" i="23"/>
  <c r="I17" i="23"/>
  <c r="I17" i="21" s="1"/>
  <c r="C17" i="23"/>
  <c r="C17" i="21" s="1"/>
  <c r="L17" i="23"/>
  <c r="L17" i="21" s="1"/>
  <c r="H17" i="23"/>
  <c r="M16" i="21"/>
  <c r="O16" i="21" s="1"/>
  <c r="O15" i="21"/>
  <c r="O18" i="20"/>
  <c r="H17" i="21"/>
  <c r="D17" i="21"/>
  <c r="F17" i="21"/>
  <c r="A18" i="21"/>
  <c r="A1" i="21" s="1"/>
  <c r="C18" i="18"/>
  <c r="G18" i="18"/>
  <c r="K18" i="18"/>
  <c r="D18" i="18"/>
  <c r="H18" i="18"/>
  <c r="L18" i="18"/>
  <c r="E18" i="18"/>
  <c r="I18" i="18"/>
  <c r="F18" i="18"/>
  <c r="J18" i="18"/>
  <c r="A1" i="18"/>
  <c r="F17" i="16"/>
  <c r="A22" i="15"/>
  <c r="A1" i="16"/>
  <c r="O15" i="16"/>
  <c r="O19" i="15"/>
  <c r="C17" i="16"/>
  <c r="N17" i="17"/>
  <c r="J17" i="16"/>
  <c r="I17" i="16"/>
  <c r="K17" i="16"/>
  <c r="M16" i="16"/>
  <c r="P14" i="16"/>
  <c r="D18" i="15"/>
  <c r="D18" i="17"/>
  <c r="H18" i="17"/>
  <c r="L18" i="17"/>
  <c r="C18" i="17"/>
  <c r="G18" i="17"/>
  <c r="K18" i="17"/>
  <c r="F18" i="17"/>
  <c r="J18" i="17"/>
  <c r="E18" i="17"/>
  <c r="I18" i="17"/>
  <c r="A1" i="17"/>
  <c r="G17" i="16"/>
  <c r="D17" i="16"/>
  <c r="N11" i="8"/>
  <c r="M15" i="5"/>
  <c r="L29" i="5"/>
  <c r="L57" i="5" s="1"/>
  <c r="G94" i="5"/>
  <c r="G96" i="5" s="1"/>
  <c r="G97" i="5" s="1"/>
  <c r="H10" i="4"/>
  <c r="M10" i="4" s="1"/>
  <c r="N10" i="2"/>
  <c r="A15" i="3"/>
  <c r="A16" i="2"/>
  <c r="N33" i="5"/>
  <c r="N61" i="5" s="1"/>
  <c r="S75" i="5"/>
  <c r="T75" i="5"/>
  <c r="H11" i="2"/>
  <c r="H11" i="4" s="1"/>
  <c r="D11" i="4"/>
  <c r="I6" i="5"/>
  <c r="J13" i="3" s="1"/>
  <c r="E12" i="3"/>
  <c r="K12" i="3"/>
  <c r="K12" i="4" s="1"/>
  <c r="L12" i="3"/>
  <c r="L12" i="4" s="1"/>
  <c r="J12" i="3"/>
  <c r="J12" i="4" s="1"/>
  <c r="G12" i="3"/>
  <c r="H12" i="3"/>
  <c r="F12" i="3"/>
  <c r="F12" i="4" s="1"/>
  <c r="I12" i="3"/>
  <c r="I12" i="4" s="1"/>
  <c r="D12" i="3"/>
  <c r="C12" i="3"/>
  <c r="C12" i="4" s="1"/>
  <c r="K13" i="5"/>
  <c r="J27" i="5"/>
  <c r="H8" i="4"/>
  <c r="M8" i="4" s="1"/>
  <c r="N8" i="2"/>
  <c r="H7" i="4"/>
  <c r="F11" i="4"/>
  <c r="L11" i="4"/>
  <c r="D12" i="4"/>
  <c r="H65" i="5"/>
  <c r="H82" i="5"/>
  <c r="H66" i="5"/>
  <c r="M37" i="5"/>
  <c r="N23" i="5"/>
  <c r="C93" i="10"/>
  <c r="O93" i="10" s="1"/>
  <c r="P93" i="10" s="1"/>
  <c r="AC42" i="11" s="1"/>
  <c r="H9" i="4"/>
  <c r="M9" i="4" s="1"/>
  <c r="N9" i="2"/>
  <c r="I11" i="4"/>
  <c r="A14" i="4"/>
  <c r="A18" i="1" s="1"/>
  <c r="G12" i="2"/>
  <c r="K11" i="4"/>
  <c r="E11" i="4"/>
  <c r="L14" i="5"/>
  <c r="K28" i="5"/>
  <c r="K56" i="5" s="1"/>
  <c r="K83" i="5" s="1"/>
  <c r="N7" i="2"/>
  <c r="E12" i="4"/>
  <c r="C11" i="4"/>
  <c r="I55" i="5"/>
  <c r="I38" i="5"/>
  <c r="C94" i="10"/>
  <c r="C96" i="10" s="1"/>
  <c r="A13" i="8"/>
  <c r="J12" i="8"/>
  <c r="F12" i="8"/>
  <c r="I12" i="8"/>
  <c r="E12" i="8"/>
  <c r="L12" i="8"/>
  <c r="H12" i="8"/>
  <c r="D12" i="8"/>
  <c r="K12" i="8"/>
  <c r="G12" i="8"/>
  <c r="C12" i="8"/>
  <c r="O14" i="6"/>
  <c r="D14" i="6"/>
  <c r="F14" i="6" s="1"/>
  <c r="K14" i="6"/>
  <c r="A15" i="6"/>
  <c r="M21" i="5" l="1"/>
  <c r="L35" i="5"/>
  <c r="L63" i="5" s="1"/>
  <c r="L90" i="5" s="1"/>
  <c r="L18" i="5"/>
  <c r="K32" i="5"/>
  <c r="K60" i="5" s="1"/>
  <c r="K87" i="5" s="1"/>
  <c r="AC50" i="11"/>
  <c r="AD52" i="11" s="1"/>
  <c r="V39" i="11" s="1"/>
  <c r="AC44" i="11"/>
  <c r="AD48" i="11" s="1"/>
  <c r="AD54" i="11" s="1"/>
  <c r="AD57" i="11" s="1"/>
  <c r="L13" i="2"/>
  <c r="U72" i="5"/>
  <c r="U73" i="5"/>
  <c r="C13" i="2"/>
  <c r="U76" i="5"/>
  <c r="N22" i="5"/>
  <c r="M36" i="5"/>
  <c r="M64" i="5" s="1"/>
  <c r="M91" i="5" s="1"/>
  <c r="G13" i="3"/>
  <c r="N11" i="2"/>
  <c r="G12" i="4"/>
  <c r="F47" i="35"/>
  <c r="F54" i="35" s="1"/>
  <c r="G54" i="35"/>
  <c r="G56" i="35" s="1"/>
  <c r="I56" i="35" s="1"/>
  <c r="P20" i="36"/>
  <c r="O5" i="36" s="1"/>
  <c r="O37" i="35"/>
  <c r="O38" i="35" s="1"/>
  <c r="D27" i="30"/>
  <c r="O21" i="30"/>
  <c r="O25" i="30" s="1"/>
  <c r="O26" i="30" s="1"/>
  <c r="O18" i="31"/>
  <c r="O20" i="31" s="1"/>
  <c r="O20" i="32"/>
  <c r="N21" i="32"/>
  <c r="D23" i="30"/>
  <c r="D25" i="30" s="1"/>
  <c r="K42" i="11" s="1"/>
  <c r="F20" i="30"/>
  <c r="N95" i="29"/>
  <c r="N96" i="29"/>
  <c r="N97" i="29" s="1"/>
  <c r="D22" i="25"/>
  <c r="O20" i="26"/>
  <c r="P20" i="26" s="1"/>
  <c r="O5" i="26" s="1"/>
  <c r="O22" i="25"/>
  <c r="O25" i="25" s="1"/>
  <c r="O26" i="25" s="1"/>
  <c r="O38" i="25" s="1"/>
  <c r="U75" i="5"/>
  <c r="A1" i="23"/>
  <c r="J18" i="23"/>
  <c r="F18" i="23"/>
  <c r="F18" i="21" s="1"/>
  <c r="F20" i="21" s="1"/>
  <c r="H18" i="23"/>
  <c r="L18" i="23"/>
  <c r="L18" i="21" s="1"/>
  <c r="L20" i="21" s="1"/>
  <c r="D18" i="23"/>
  <c r="E18" i="23"/>
  <c r="E18" i="21" s="1"/>
  <c r="E20" i="21" s="1"/>
  <c r="K18" i="23"/>
  <c r="K18" i="21" s="1"/>
  <c r="K20" i="21" s="1"/>
  <c r="G18" i="23"/>
  <c r="G18" i="21" s="1"/>
  <c r="G20" i="21" s="1"/>
  <c r="I18" i="23"/>
  <c r="C18" i="23"/>
  <c r="C18" i="21" s="1"/>
  <c r="C20" i="21" s="1"/>
  <c r="N18" i="22"/>
  <c r="N20" i="22" s="1"/>
  <c r="M17" i="21"/>
  <c r="P15" i="21"/>
  <c r="D18" i="20"/>
  <c r="F18" i="20" s="1"/>
  <c r="P16" i="21"/>
  <c r="D19" i="20"/>
  <c r="F19" i="20" s="1"/>
  <c r="I18" i="21"/>
  <c r="I20" i="21" s="1"/>
  <c r="H18" i="21"/>
  <c r="H20" i="21" s="1"/>
  <c r="J18" i="21"/>
  <c r="J20" i="21" s="1"/>
  <c r="D18" i="21"/>
  <c r="E18" i="16"/>
  <c r="E20" i="16" s="1"/>
  <c r="E20" i="17"/>
  <c r="J18" i="16"/>
  <c r="J20" i="16" s="1"/>
  <c r="J20" i="17"/>
  <c r="N18" i="17"/>
  <c r="N20" i="17" s="1"/>
  <c r="C18" i="16"/>
  <c r="C20" i="16" s="1"/>
  <c r="C20" i="17"/>
  <c r="M17" i="16"/>
  <c r="A3" i="15"/>
  <c r="B38" i="15"/>
  <c r="F18" i="16"/>
  <c r="F20" i="16" s="1"/>
  <c r="F20" i="17"/>
  <c r="L18" i="16"/>
  <c r="L20" i="16" s="1"/>
  <c r="L20" i="17"/>
  <c r="F18" i="15"/>
  <c r="I18" i="16"/>
  <c r="I20" i="16" s="1"/>
  <c r="I20" i="17"/>
  <c r="K18" i="16"/>
  <c r="K20" i="16" s="1"/>
  <c r="K20" i="17"/>
  <c r="H18" i="16"/>
  <c r="H20" i="16" s="1"/>
  <c r="H20" i="17"/>
  <c r="P15" i="16"/>
  <c r="D19" i="15"/>
  <c r="F19" i="15" s="1"/>
  <c r="D18" i="16"/>
  <c r="D20" i="17"/>
  <c r="O16" i="16"/>
  <c r="O20" i="15"/>
  <c r="G18" i="16"/>
  <c r="G20" i="16" s="1"/>
  <c r="G20" i="17"/>
  <c r="N12" i="8"/>
  <c r="E13" i="3"/>
  <c r="E14" i="3"/>
  <c r="O9" i="4"/>
  <c r="O10" i="1"/>
  <c r="K27" i="5"/>
  <c r="L13" i="5"/>
  <c r="J13" i="2"/>
  <c r="G13" i="2"/>
  <c r="G13" i="4" s="1"/>
  <c r="J6" i="5"/>
  <c r="C14" i="3" s="1"/>
  <c r="I13" i="3"/>
  <c r="F13" i="3"/>
  <c r="H13" i="3"/>
  <c r="F14" i="2"/>
  <c r="I14" i="2"/>
  <c r="L14" i="2"/>
  <c r="K14" i="2"/>
  <c r="D14" i="2"/>
  <c r="C13" i="3"/>
  <c r="C13" i="4" s="1"/>
  <c r="D13" i="3"/>
  <c r="E14" i="2"/>
  <c r="J14" i="2"/>
  <c r="K13" i="2"/>
  <c r="C14" i="2"/>
  <c r="F13" i="2"/>
  <c r="A16" i="3"/>
  <c r="A17" i="2"/>
  <c r="A15" i="4"/>
  <c r="A19" i="1" s="1"/>
  <c r="M11" i="4"/>
  <c r="M14" i="5"/>
  <c r="L28" i="5"/>
  <c r="L56" i="5" s="1"/>
  <c r="L83" i="5" s="1"/>
  <c r="L13" i="3"/>
  <c r="L13" i="4" s="1"/>
  <c r="H14" i="3"/>
  <c r="J14" i="3"/>
  <c r="G14" i="3"/>
  <c r="O8" i="4"/>
  <c r="O9" i="1"/>
  <c r="K13" i="3"/>
  <c r="D13" i="2"/>
  <c r="I82" i="5"/>
  <c r="I65" i="5"/>
  <c r="I92" i="5" s="1"/>
  <c r="T79" i="5"/>
  <c r="S79" i="5"/>
  <c r="N37" i="5"/>
  <c r="H92" i="5"/>
  <c r="H93" i="5" s="1"/>
  <c r="H12" i="2"/>
  <c r="J38" i="5"/>
  <c r="J55" i="5"/>
  <c r="I13" i="2"/>
  <c r="E13" i="2"/>
  <c r="O10" i="4"/>
  <c r="O14" i="1"/>
  <c r="M29" i="5"/>
  <c r="M57" i="5" s="1"/>
  <c r="N15" i="5"/>
  <c r="M7" i="4"/>
  <c r="A14" i="8"/>
  <c r="J13" i="8"/>
  <c r="F13" i="8"/>
  <c r="I13" i="8"/>
  <c r="E13" i="8"/>
  <c r="L13" i="8"/>
  <c r="H13" i="8"/>
  <c r="D13" i="8"/>
  <c r="K13" i="8"/>
  <c r="G13" i="8"/>
  <c r="C13" i="8"/>
  <c r="A16" i="6"/>
  <c r="O15" i="6"/>
  <c r="D15" i="6"/>
  <c r="F15" i="6" s="1"/>
  <c r="K15" i="6"/>
  <c r="M18" i="5" l="1"/>
  <c r="L32" i="5"/>
  <c r="L60" i="5" s="1"/>
  <c r="L87" i="5" s="1"/>
  <c r="G59" i="35"/>
  <c r="I59" i="35" s="1"/>
  <c r="P38" i="11"/>
  <c r="Q38" i="11" s="1"/>
  <c r="Q40" i="11" s="1"/>
  <c r="W39" i="11"/>
  <c r="W40" i="11" s="1"/>
  <c r="W44" i="11" s="1"/>
  <c r="X48" i="11" s="1"/>
  <c r="X54" i="11" s="1"/>
  <c r="X57" i="11" s="1"/>
  <c r="N21" i="5"/>
  <c r="M35" i="5"/>
  <c r="M63" i="5" s="1"/>
  <c r="M90" i="5" s="1"/>
  <c r="H94" i="5"/>
  <c r="H96" i="5" s="1"/>
  <c r="H97" i="5" s="1"/>
  <c r="E14" i="4"/>
  <c r="S78" i="5"/>
  <c r="T78" i="5"/>
  <c r="U78" i="5" s="1"/>
  <c r="N36" i="5"/>
  <c r="N64" i="5" s="1"/>
  <c r="N91" i="5" s="1"/>
  <c r="U79" i="5"/>
  <c r="I61" i="35"/>
  <c r="I71" i="35" s="1"/>
  <c r="F27" i="30"/>
  <c r="G59" i="30" s="1"/>
  <c r="I59" i="30" s="1"/>
  <c r="K50" i="11"/>
  <c r="P20" i="31"/>
  <c r="O5" i="31" s="1"/>
  <c r="O37" i="30"/>
  <c r="O38" i="30" s="1"/>
  <c r="F25" i="30"/>
  <c r="G34" i="30"/>
  <c r="G47" i="30" s="1"/>
  <c r="F22" i="25"/>
  <c r="D29" i="25"/>
  <c r="D24" i="25"/>
  <c r="N21" i="22"/>
  <c r="O20" i="22"/>
  <c r="M18" i="21"/>
  <c r="D20" i="21"/>
  <c r="M20" i="21" s="1"/>
  <c r="O32" i="20" s="1"/>
  <c r="O17" i="21"/>
  <c r="O20" i="20"/>
  <c r="M18" i="16"/>
  <c r="D20" i="16"/>
  <c r="M20" i="16" s="1"/>
  <c r="N21" i="17"/>
  <c r="O20" i="17"/>
  <c r="P16" i="16"/>
  <c r="D20" i="15"/>
  <c r="F20" i="15" s="1"/>
  <c r="O17" i="16"/>
  <c r="O21" i="15"/>
  <c r="I13" i="4"/>
  <c r="J65" i="5"/>
  <c r="J66" i="5" s="1"/>
  <c r="J82" i="5"/>
  <c r="I93" i="5"/>
  <c r="I94" i="5" s="1"/>
  <c r="I96" i="5" s="1"/>
  <c r="I97" i="5" s="1"/>
  <c r="P8" i="4"/>
  <c r="D9" i="1"/>
  <c r="F9" i="1" s="1"/>
  <c r="O11" i="4"/>
  <c r="O15" i="1"/>
  <c r="M13" i="5"/>
  <c r="L27" i="5"/>
  <c r="H12" i="4"/>
  <c r="N12" i="2"/>
  <c r="I66" i="5"/>
  <c r="A18" i="2"/>
  <c r="A17" i="3"/>
  <c r="F13" i="4"/>
  <c r="J14" i="4"/>
  <c r="K38" i="5"/>
  <c r="K55" i="5"/>
  <c r="P9" i="4"/>
  <c r="D10" i="1"/>
  <c r="F10" i="1" s="1"/>
  <c r="N29" i="5"/>
  <c r="N57" i="5" s="1"/>
  <c r="S71" i="5"/>
  <c r="T71" i="5"/>
  <c r="D13" i="4"/>
  <c r="O8" i="1"/>
  <c r="O7" i="4"/>
  <c r="P10" i="4"/>
  <c r="D14" i="1"/>
  <c r="E13" i="4"/>
  <c r="M28" i="5"/>
  <c r="M56" i="5" s="1"/>
  <c r="M83" i="5" s="1"/>
  <c r="N14" i="5"/>
  <c r="A16" i="4"/>
  <c r="A20" i="1" s="1"/>
  <c r="C14" i="4"/>
  <c r="G14" i="2"/>
  <c r="G14" i="4" s="1"/>
  <c r="K6" i="5"/>
  <c r="L14" i="3"/>
  <c r="L14" i="4" s="1"/>
  <c r="K14" i="3"/>
  <c r="K14" i="4" s="1"/>
  <c r="D14" i="3"/>
  <c r="D14" i="4" s="1"/>
  <c r="F14" i="3"/>
  <c r="F14" i="4" s="1"/>
  <c r="J13" i="4"/>
  <c r="I14" i="3"/>
  <c r="I14" i="4" s="1"/>
  <c r="K13" i="4"/>
  <c r="H13" i="2"/>
  <c r="H13" i="4" s="1"/>
  <c r="N13" i="8"/>
  <c r="A15" i="8"/>
  <c r="J14" i="8"/>
  <c r="F14" i="8"/>
  <c r="I14" i="8"/>
  <c r="E14" i="8"/>
  <c r="L14" i="8"/>
  <c r="H14" i="8"/>
  <c r="D14" i="8"/>
  <c r="K14" i="8"/>
  <c r="G14" i="8"/>
  <c r="C14" i="8"/>
  <c r="O16" i="6"/>
  <c r="D16" i="6"/>
  <c r="K16" i="6"/>
  <c r="A17" i="6"/>
  <c r="N35" i="5" l="1"/>
  <c r="N63" i="5" s="1"/>
  <c r="N90" i="5" s="1"/>
  <c r="S77" i="5"/>
  <c r="T77" i="5"/>
  <c r="U77" i="5" s="1"/>
  <c r="N18" i="5"/>
  <c r="M32" i="5"/>
  <c r="M60" i="5" s="1"/>
  <c r="M87" i="5" s="1"/>
  <c r="L52" i="11"/>
  <c r="I63" i="35"/>
  <c r="F29" i="25"/>
  <c r="G62" i="25" s="1"/>
  <c r="O39" i="25" s="1"/>
  <c r="O40" i="25" s="1"/>
  <c r="K23" i="11"/>
  <c r="L25" i="11" s="1"/>
  <c r="D12" i="11" s="1"/>
  <c r="E12" i="11" s="1"/>
  <c r="M13" i="4"/>
  <c r="O13" i="4" s="1"/>
  <c r="I73" i="35"/>
  <c r="I74" i="35"/>
  <c r="F47" i="30"/>
  <c r="F54" i="30" s="1"/>
  <c r="G54" i="30"/>
  <c r="G56" i="30" s="1"/>
  <c r="I56" i="30" s="1"/>
  <c r="I61" i="30" s="1"/>
  <c r="F24" i="25"/>
  <c r="D26" i="25"/>
  <c r="K15" i="11" s="1"/>
  <c r="I62" i="25"/>
  <c r="P17" i="21"/>
  <c r="D15" i="20"/>
  <c r="D20" i="20"/>
  <c r="F20" i="20" s="1"/>
  <c r="O18" i="21"/>
  <c r="O21" i="20"/>
  <c r="P17" i="16"/>
  <c r="D21" i="15"/>
  <c r="F21" i="15" s="1"/>
  <c r="O18" i="16"/>
  <c r="O22" i="15"/>
  <c r="O25" i="15" s="1"/>
  <c r="O26" i="15" s="1"/>
  <c r="O32" i="15" s="1"/>
  <c r="K65" i="5"/>
  <c r="K92" i="5" s="1"/>
  <c r="K66" i="5"/>
  <c r="K82" i="5"/>
  <c r="M27" i="5"/>
  <c r="N13" i="5"/>
  <c r="I15" i="2"/>
  <c r="N28" i="5"/>
  <c r="N56" i="5" s="1"/>
  <c r="N83" i="5" s="1"/>
  <c r="T70" i="5"/>
  <c r="S70" i="5"/>
  <c r="F14" i="1"/>
  <c r="J92" i="5"/>
  <c r="H14" i="2"/>
  <c r="L6" i="5"/>
  <c r="M6" i="5" s="1"/>
  <c r="N6" i="5" s="1"/>
  <c r="T68" i="5" s="1"/>
  <c r="G15" i="2"/>
  <c r="D15" i="3"/>
  <c r="I15" i="3"/>
  <c r="J15" i="3"/>
  <c r="E15" i="3"/>
  <c r="C15" i="3"/>
  <c r="D15" i="2"/>
  <c r="H15" i="2"/>
  <c r="J15" i="2"/>
  <c r="J16" i="2"/>
  <c r="F15" i="3"/>
  <c r="G15" i="3"/>
  <c r="H15" i="3"/>
  <c r="F15" i="2"/>
  <c r="L15" i="2"/>
  <c r="K15" i="3"/>
  <c r="L15" i="3"/>
  <c r="C15" i="2"/>
  <c r="K15" i="2"/>
  <c r="E15" i="2"/>
  <c r="G16" i="3"/>
  <c r="K18" i="2"/>
  <c r="A1" i="2"/>
  <c r="A18" i="3"/>
  <c r="N13" i="2"/>
  <c r="E16" i="3"/>
  <c r="L17" i="2"/>
  <c r="M12" i="4"/>
  <c r="H16" i="3"/>
  <c r="I16" i="3"/>
  <c r="D8" i="1"/>
  <c r="P7" i="4"/>
  <c r="U71" i="5"/>
  <c r="J17" i="2"/>
  <c r="D17" i="2"/>
  <c r="L55" i="5"/>
  <c r="L38" i="5"/>
  <c r="P11" i="4"/>
  <c r="D15" i="1"/>
  <c r="F15" i="1" s="1"/>
  <c r="N14" i="8"/>
  <c r="L16" i="3"/>
  <c r="K16" i="3"/>
  <c r="L17" i="3"/>
  <c r="K17" i="3"/>
  <c r="I17" i="3"/>
  <c r="E17" i="3"/>
  <c r="F17" i="3"/>
  <c r="A17" i="4"/>
  <c r="A21" i="1" s="1"/>
  <c r="H17" i="3"/>
  <c r="C17" i="3"/>
  <c r="J17" i="3"/>
  <c r="D17" i="3"/>
  <c r="G17" i="3"/>
  <c r="J93" i="5"/>
  <c r="J94" i="5" s="1"/>
  <c r="J96" i="5" s="1"/>
  <c r="J97" i="5" s="1"/>
  <c r="A16" i="8"/>
  <c r="J15" i="8"/>
  <c r="F15" i="8"/>
  <c r="I15" i="8"/>
  <c r="E15" i="8"/>
  <c r="L15" i="8"/>
  <c r="H15" i="8"/>
  <c r="D15" i="8"/>
  <c r="K15" i="8"/>
  <c r="G15" i="8"/>
  <c r="C15" i="8"/>
  <c r="A18" i="6"/>
  <c r="O17" i="6"/>
  <c r="D17" i="6"/>
  <c r="F17" i="6" s="1"/>
  <c r="K17" i="6"/>
  <c r="F16" i="6"/>
  <c r="J18" i="2" l="1"/>
  <c r="F16" i="2"/>
  <c r="L16" i="2"/>
  <c r="L16" i="4" s="1"/>
  <c r="E16" i="2"/>
  <c r="E16" i="4" s="1"/>
  <c r="K93" i="5"/>
  <c r="N32" i="5"/>
  <c r="N60" i="5" s="1"/>
  <c r="T74" i="5"/>
  <c r="U74" i="5" s="1"/>
  <c r="S74" i="5"/>
  <c r="D40" i="11"/>
  <c r="E40" i="11" s="1"/>
  <c r="O17" i="1"/>
  <c r="H15" i="4"/>
  <c r="L17" i="4"/>
  <c r="I63" i="30"/>
  <c r="I71" i="30"/>
  <c r="K42" i="25"/>
  <c r="F26" i="25"/>
  <c r="G37" i="25"/>
  <c r="G50" i="25" s="1"/>
  <c r="P18" i="21"/>
  <c r="O17" i="20"/>
  <c r="O20" i="21"/>
  <c r="O19" i="20"/>
  <c r="O25" i="20" s="1"/>
  <c r="O26" i="20" s="1"/>
  <c r="F15" i="20"/>
  <c r="D23" i="20"/>
  <c r="D25" i="20" s="1"/>
  <c r="Q42" i="11" s="1"/>
  <c r="P18" i="16"/>
  <c r="D22" i="15"/>
  <c r="O20" i="16"/>
  <c r="P20" i="16" s="1"/>
  <c r="O5" i="16" s="1"/>
  <c r="D17" i="4"/>
  <c r="D15" i="4"/>
  <c r="J17" i="4"/>
  <c r="F8" i="1"/>
  <c r="D12" i="1"/>
  <c r="I17" i="2"/>
  <c r="I17" i="4" s="1"/>
  <c r="F18" i="2"/>
  <c r="D18" i="2"/>
  <c r="E18" i="2"/>
  <c r="D16" i="3"/>
  <c r="N15" i="2"/>
  <c r="C15" i="4"/>
  <c r="I16" i="2"/>
  <c r="I16" i="4" s="1"/>
  <c r="K16" i="2"/>
  <c r="K16" i="4" s="1"/>
  <c r="G16" i="2"/>
  <c r="G16" i="4" s="1"/>
  <c r="H14" i="4"/>
  <c r="N14" i="2"/>
  <c r="U70" i="5"/>
  <c r="F16" i="3"/>
  <c r="M55" i="5"/>
  <c r="G17" i="2" s="1"/>
  <c r="G17" i="4" s="1"/>
  <c r="M38" i="5"/>
  <c r="K94" i="5"/>
  <c r="K96" i="5" s="1"/>
  <c r="K97" i="5" s="1"/>
  <c r="J16" i="3"/>
  <c r="J16" i="4" s="1"/>
  <c r="L65" i="5"/>
  <c r="L66" i="5" s="1"/>
  <c r="L82" i="5"/>
  <c r="F16" i="4"/>
  <c r="J15" i="4"/>
  <c r="J20" i="2"/>
  <c r="C16" i="2"/>
  <c r="C16" i="3"/>
  <c r="O12" i="4"/>
  <c r="O16" i="1"/>
  <c r="I18" i="2"/>
  <c r="I20" i="2" s="1"/>
  <c r="L18" i="2"/>
  <c r="L20" i="2" s="1"/>
  <c r="E15" i="4"/>
  <c r="L15" i="4"/>
  <c r="D16" i="2"/>
  <c r="D16" i="4" s="1"/>
  <c r="G15" i="4"/>
  <c r="I15" i="4"/>
  <c r="F17" i="2"/>
  <c r="F17" i="4" s="1"/>
  <c r="P13" i="4"/>
  <c r="D17" i="1"/>
  <c r="F17" i="1" s="1"/>
  <c r="I18" i="3"/>
  <c r="L18" i="3"/>
  <c r="E18" i="3"/>
  <c r="A1" i="3"/>
  <c r="F18" i="3"/>
  <c r="G18" i="3"/>
  <c r="D18" i="3"/>
  <c r="C18" i="3"/>
  <c r="K18" i="3"/>
  <c r="K18" i="4" s="1"/>
  <c r="H18" i="3"/>
  <c r="A18" i="4"/>
  <c r="J18" i="3"/>
  <c r="J18" i="4" s="1"/>
  <c r="K15" i="4"/>
  <c r="K20" i="2"/>
  <c r="F15" i="4"/>
  <c r="F20" i="2"/>
  <c r="K17" i="2"/>
  <c r="K17" i="4" s="1"/>
  <c r="T69" i="5"/>
  <c r="T80" i="5"/>
  <c r="N27" i="5"/>
  <c r="S69" i="5"/>
  <c r="C17" i="2"/>
  <c r="E17" i="2"/>
  <c r="E17" i="4" s="1"/>
  <c r="N15" i="8"/>
  <c r="A17" i="8"/>
  <c r="J16" i="8"/>
  <c r="F16" i="8"/>
  <c r="I16" i="8"/>
  <c r="E16" i="8"/>
  <c r="L16" i="8"/>
  <c r="H16" i="8"/>
  <c r="D16" i="8"/>
  <c r="K16" i="8"/>
  <c r="G16" i="8"/>
  <c r="C16" i="8"/>
  <c r="O18" i="6"/>
  <c r="D18" i="6"/>
  <c r="A19" i="6"/>
  <c r="K18" i="6"/>
  <c r="N87" i="5" l="1"/>
  <c r="C18" i="2"/>
  <c r="C18" i="4"/>
  <c r="U69" i="5"/>
  <c r="K20" i="4"/>
  <c r="J20" i="4"/>
  <c r="Q50" i="11"/>
  <c r="R52" i="11" s="1"/>
  <c r="J39" i="11" s="1"/>
  <c r="Q44" i="11"/>
  <c r="R48" i="11" s="1"/>
  <c r="I73" i="30"/>
  <c r="I74" i="30"/>
  <c r="F50" i="25"/>
  <c r="F57" i="25" s="1"/>
  <c r="G57" i="25"/>
  <c r="G59" i="25" s="1"/>
  <c r="I59" i="25" s="1"/>
  <c r="I64" i="25" s="1"/>
  <c r="I73" i="25" s="1"/>
  <c r="O33" i="20"/>
  <c r="O34" i="20" s="1"/>
  <c r="P20" i="21"/>
  <c r="O5" i="21" s="1"/>
  <c r="G30" i="20"/>
  <c r="G43" i="20" s="1"/>
  <c r="F25" i="20"/>
  <c r="G55" i="20" s="1"/>
  <c r="I55" i="20" s="1"/>
  <c r="F22" i="15"/>
  <c r="D24" i="15"/>
  <c r="N38" i="5"/>
  <c r="N55" i="5"/>
  <c r="N16" i="8"/>
  <c r="U80" i="5"/>
  <c r="T82" i="5"/>
  <c r="T85" i="5" s="1"/>
  <c r="A1" i="4"/>
  <c r="A22" i="1"/>
  <c r="L18" i="4"/>
  <c r="L20" i="4" s="1"/>
  <c r="P12" i="4"/>
  <c r="D16" i="1"/>
  <c r="M14" i="4"/>
  <c r="M15" i="4"/>
  <c r="D18" i="4"/>
  <c r="D20" i="4" s="1"/>
  <c r="C17" i="4"/>
  <c r="L92" i="5"/>
  <c r="L93" i="5" s="1"/>
  <c r="H16" i="2"/>
  <c r="F18" i="4"/>
  <c r="F20" i="4" s="1"/>
  <c r="E20" i="2"/>
  <c r="I18" i="4"/>
  <c r="I20" i="4" s="1"/>
  <c r="D20" i="2"/>
  <c r="C16" i="4"/>
  <c r="C20" i="2"/>
  <c r="M82" i="5"/>
  <c r="M65" i="5"/>
  <c r="M66" i="5" s="1"/>
  <c r="E18" i="4"/>
  <c r="E20" i="4" s="1"/>
  <c r="F12" i="1"/>
  <c r="A18" i="8"/>
  <c r="J17" i="8"/>
  <c r="F17" i="8"/>
  <c r="I17" i="8"/>
  <c r="E17" i="8"/>
  <c r="L17" i="8"/>
  <c r="H17" i="8"/>
  <c r="D17" i="8"/>
  <c r="K17" i="8"/>
  <c r="G17" i="8"/>
  <c r="C17" i="8"/>
  <c r="A20" i="6"/>
  <c r="K19" i="6"/>
  <c r="O19" i="6"/>
  <c r="D19" i="6"/>
  <c r="F19" i="6" s="1"/>
  <c r="F18" i="6"/>
  <c r="L94" i="5" l="1"/>
  <c r="L96" i="5" s="1"/>
  <c r="L97" i="5" s="1"/>
  <c r="R54" i="11"/>
  <c r="R57" i="11" s="1"/>
  <c r="K39" i="11"/>
  <c r="K40" i="11" s="1"/>
  <c r="K44" i="11" s="1"/>
  <c r="L48" i="11" s="1"/>
  <c r="D39" i="11"/>
  <c r="E39" i="11" s="1"/>
  <c r="E41" i="11" s="1"/>
  <c r="E46" i="11" s="1"/>
  <c r="G50" i="20"/>
  <c r="G52" i="20" s="1"/>
  <c r="I52" i="20" s="1"/>
  <c r="I57" i="20" s="1"/>
  <c r="F43" i="20"/>
  <c r="F50" i="20" s="1"/>
  <c r="F24" i="15"/>
  <c r="D26" i="15"/>
  <c r="Q15" i="11" s="1"/>
  <c r="O15" i="4"/>
  <c r="O19" i="1"/>
  <c r="A3" i="1"/>
  <c r="B38" i="1"/>
  <c r="F16" i="1"/>
  <c r="N65" i="5"/>
  <c r="N66" i="5"/>
  <c r="N82" i="5"/>
  <c r="G18" i="2"/>
  <c r="O14" i="4"/>
  <c r="O18" i="1"/>
  <c r="M16" i="4"/>
  <c r="H16" i="4"/>
  <c r="M92" i="5"/>
  <c r="M93" i="5" s="1"/>
  <c r="M94" i="5" s="1"/>
  <c r="M96" i="5" s="1"/>
  <c r="M97" i="5" s="1"/>
  <c r="H17" i="2"/>
  <c r="N16" i="2"/>
  <c r="C20" i="4"/>
  <c r="N17" i="8"/>
  <c r="J18" i="8"/>
  <c r="J20" i="8" s="1"/>
  <c r="F18" i="8"/>
  <c r="F20" i="8" s="1"/>
  <c r="I18" i="8"/>
  <c r="I20" i="8" s="1"/>
  <c r="E18" i="8"/>
  <c r="E20" i="8" s="1"/>
  <c r="L18" i="8"/>
  <c r="L20" i="8" s="1"/>
  <c r="H18" i="8"/>
  <c r="H20" i="8" s="1"/>
  <c r="D18" i="8"/>
  <c r="D20" i="8" s="1"/>
  <c r="K18" i="8"/>
  <c r="K20" i="8" s="1"/>
  <c r="G18" i="8"/>
  <c r="G20" i="8" s="1"/>
  <c r="C18" i="8"/>
  <c r="A1" i="8"/>
  <c r="A21" i="6"/>
  <c r="O20" i="6"/>
  <c r="D20" i="6"/>
  <c r="K20" i="6"/>
  <c r="F48" i="11" l="1"/>
  <c r="F54" i="11" s="1"/>
  <c r="F57" i="11" s="1"/>
  <c r="L54" i="11"/>
  <c r="L57" i="11" s="1"/>
  <c r="Q23" i="11"/>
  <c r="R25" i="11" s="1"/>
  <c r="J12" i="11" s="1"/>
  <c r="I67" i="20"/>
  <c r="I59" i="20"/>
  <c r="F26" i="15"/>
  <c r="G56" i="15" s="1"/>
  <c r="K36" i="15"/>
  <c r="G31" i="15"/>
  <c r="G44" i="15" s="1"/>
  <c r="H17" i="4"/>
  <c r="M17" i="4" s="1"/>
  <c r="N17" i="2"/>
  <c r="G18" i="4"/>
  <c r="G20" i="2"/>
  <c r="O16" i="4"/>
  <c r="O20" i="1"/>
  <c r="P15" i="4"/>
  <c r="D19" i="1"/>
  <c r="F19" i="1" s="1"/>
  <c r="P14" i="4"/>
  <c r="D18" i="1"/>
  <c r="N92" i="5"/>
  <c r="N93" i="5" s="1"/>
  <c r="H18" i="2"/>
  <c r="N18" i="2" s="1"/>
  <c r="N20" i="2" s="1"/>
  <c r="N18" i="8"/>
  <c r="N20" i="8" s="1"/>
  <c r="C20" i="8"/>
  <c r="F20" i="6"/>
  <c r="D23" i="6"/>
  <c r="D25" i="6" s="1"/>
  <c r="O21" i="6"/>
  <c r="O25" i="6" s="1"/>
  <c r="O26" i="6" s="1"/>
  <c r="O32" i="6" s="1"/>
  <c r="K21" i="6"/>
  <c r="A3" i="6"/>
  <c r="C37" i="6"/>
  <c r="N94" i="5" l="1"/>
  <c r="N96" i="5" s="1"/>
  <c r="N97" i="5" s="1"/>
  <c r="O93" i="5"/>
  <c r="P93" i="5" s="1"/>
  <c r="AC15" i="11" s="1"/>
  <c r="K12" i="11"/>
  <c r="K13" i="11" s="1"/>
  <c r="K17" i="11" s="1"/>
  <c r="L21" i="11" s="1"/>
  <c r="L27" i="11" s="1"/>
  <c r="L30" i="11" s="1"/>
  <c r="D11" i="11"/>
  <c r="E11" i="11" s="1"/>
  <c r="E13" i="11" s="1"/>
  <c r="E18" i="11" s="1"/>
  <c r="I69" i="20"/>
  <c r="I70" i="20"/>
  <c r="G51" i="15"/>
  <c r="G53" i="15" s="1"/>
  <c r="I53" i="15" s="1"/>
  <c r="F44" i="15"/>
  <c r="F51" i="15" s="1"/>
  <c r="O33" i="15"/>
  <c r="O34" i="15" s="1"/>
  <c r="I56" i="15"/>
  <c r="N21" i="2"/>
  <c r="O20" i="2"/>
  <c r="O17" i="4"/>
  <c r="O21" i="1"/>
  <c r="G20" i="4"/>
  <c r="P16" i="4"/>
  <c r="D20" i="1"/>
  <c r="F20" i="1" s="1"/>
  <c r="H18" i="4"/>
  <c r="H20" i="4" s="1"/>
  <c r="H20" i="2"/>
  <c r="F18" i="1"/>
  <c r="N21" i="8"/>
  <c r="O20" i="8"/>
  <c r="G57" i="6"/>
  <c r="B54" i="6"/>
  <c r="B46" i="6"/>
  <c r="G67" i="6"/>
  <c r="F52" i="6"/>
  <c r="B48" i="6"/>
  <c r="G30" i="6"/>
  <c r="G43" i="6" s="1"/>
  <c r="F25" i="6"/>
  <c r="G55" i="6" s="1"/>
  <c r="AC23" i="11" l="1"/>
  <c r="AD25" i="11" s="1"/>
  <c r="V12" i="11" s="1"/>
  <c r="AC17" i="11"/>
  <c r="AD21" i="11" s="1"/>
  <c r="M18" i="4"/>
  <c r="F21" i="11"/>
  <c r="F27" i="11" s="1"/>
  <c r="F30" i="11" s="1"/>
  <c r="I58" i="15"/>
  <c r="I67" i="15" s="1"/>
  <c r="P17" i="4"/>
  <c r="D21" i="1"/>
  <c r="O18" i="4"/>
  <c r="O22" i="1"/>
  <c r="O25" i="1" s="1"/>
  <c r="O26" i="1" s="1"/>
  <c r="O32" i="1" s="1"/>
  <c r="M20" i="4"/>
  <c r="G50" i="6"/>
  <c r="G52" i="6" s="1"/>
  <c r="I52" i="6" s="1"/>
  <c r="F43" i="6"/>
  <c r="F50" i="6" s="1"/>
  <c r="I55" i="6"/>
  <c r="O33" i="6"/>
  <c r="O34" i="6" s="1"/>
  <c r="W12" i="11" l="1"/>
  <c r="W13" i="11" s="1"/>
  <c r="W17" i="11" s="1"/>
  <c r="X21" i="11" s="1"/>
  <c r="X27" i="11" s="1"/>
  <c r="X30" i="11" s="1"/>
  <c r="P11" i="11"/>
  <c r="Q11" i="11" s="1"/>
  <c r="Q13" i="11" s="1"/>
  <c r="Q17" i="11" s="1"/>
  <c r="R21" i="11" s="1"/>
  <c r="R27" i="11" s="1"/>
  <c r="R30" i="11" s="1"/>
  <c r="AD27" i="11"/>
  <c r="AD30" i="11" s="1"/>
  <c r="P18" i="4"/>
  <c r="O20" i="4"/>
  <c r="P20" i="4" s="1"/>
  <c r="O5" i="4" s="1"/>
  <c r="I57" i="6"/>
  <c r="I67" i="6" s="1"/>
  <c r="F21" i="1"/>
  <c r="D24" i="1"/>
  <c r="I59" i="6" l="1"/>
  <c r="F24" i="1"/>
  <c r="D26" i="1"/>
  <c r="I70" i="6"/>
  <c r="I69" i="6"/>
  <c r="K36" i="1" l="1"/>
  <c r="F26" i="1"/>
  <c r="G56" i="1" s="1"/>
  <c r="G31" i="1"/>
  <c r="G44" i="1" s="1"/>
  <c r="G51" i="1" l="1"/>
  <c r="G53" i="1" s="1"/>
  <c r="I53" i="1" s="1"/>
  <c r="F44" i="1"/>
  <c r="F51" i="1" s="1"/>
  <c r="I56" i="1"/>
  <c r="O33" i="1"/>
  <c r="O34" i="1" s="1"/>
  <c r="I58" i="1" l="1"/>
  <c r="I67" i="1" s="1"/>
</calcChain>
</file>

<file path=xl/comments1.xml><?xml version="1.0" encoding="utf-8"?>
<comments xmlns="http://schemas.openxmlformats.org/spreadsheetml/2006/main">
  <authors>
    <author>Sevall, Scott (UTC)</author>
    <author>Mike Young</author>
    <author>Van Meter, Tiffany (UTC)</author>
  </authors>
  <commentList>
    <comment ref="D11" authorId="0" shapeId="0">
      <text>
        <r>
          <rPr>
            <b/>
            <sz val="9"/>
            <color indexed="81"/>
            <rFont val="Tahoma"/>
            <family val="2"/>
          </rPr>
          <t>Sevall, Scott (UTC):</t>
        </r>
        <r>
          <rPr>
            <sz val="9"/>
            <color indexed="81"/>
            <rFont val="Tahoma"/>
            <family val="2"/>
          </rPr>
          <t xml:space="preserve">
manually changed because the tariff had a credit of $1.33. </t>
        </r>
      </text>
    </comment>
    <comment ref="J11" authorId="0" shapeId="0">
      <text>
        <r>
          <rPr>
            <b/>
            <sz val="9"/>
            <color indexed="81"/>
            <rFont val="Tahoma"/>
            <family val="2"/>
          </rPr>
          <t>Sevall, Scott (UTC):</t>
        </r>
        <r>
          <rPr>
            <sz val="9"/>
            <color indexed="81"/>
            <rFont val="Tahoma"/>
            <family val="2"/>
          </rPr>
          <t xml:space="preserve">
manually changed because the tariff had a credit of $1.33. </t>
        </r>
      </text>
    </comment>
    <comment ref="AO13" authorId="1" shapeId="0">
      <text>
        <r>
          <rPr>
            <b/>
            <sz val="9"/>
            <color indexed="81"/>
            <rFont val="Tahoma"/>
            <family val="2"/>
          </rPr>
          <t>Mike Young:</t>
        </r>
        <r>
          <rPr>
            <sz val="9"/>
            <color indexed="81"/>
            <rFont val="Tahoma"/>
            <family val="2"/>
          </rPr>
          <t xml:space="preserve">
for 2013 projection the company used only 7 months of data so projection was not very accurate.</t>
        </r>
      </text>
    </comment>
    <comment ref="AV25" authorId="1" shapeId="0">
      <text>
        <r>
          <rPr>
            <b/>
            <sz val="9"/>
            <color indexed="81"/>
            <rFont val="Tahoma"/>
            <family val="2"/>
          </rPr>
          <t>Mike Young:</t>
        </r>
        <r>
          <rPr>
            <sz val="9"/>
            <color indexed="81"/>
            <rFont val="Tahoma"/>
            <family val="2"/>
          </rPr>
          <t xml:space="preserve">
forced to match company spreadsheet</t>
        </r>
      </text>
    </comment>
    <comment ref="D40" authorId="2" shapeId="0">
      <text>
        <r>
          <rPr>
            <b/>
            <sz val="9"/>
            <color indexed="81"/>
            <rFont val="Tahoma"/>
            <family val="2"/>
          </rPr>
          <t>Van Meter, Tiffany (UTC):</t>
        </r>
        <r>
          <rPr>
            <sz val="9"/>
            <color indexed="81"/>
            <rFont val="Tahoma"/>
            <family val="2"/>
          </rPr>
          <t xml:space="preserve">
see comment in 180485</t>
        </r>
      </text>
    </comment>
    <comment ref="L52" authorId="2" shapeId="0">
      <text>
        <r>
          <rPr>
            <b/>
            <sz val="9"/>
            <color indexed="81"/>
            <rFont val="Tahoma"/>
            <family val="2"/>
          </rPr>
          <t>Van Meter, Tiffany (UTC):</t>
        </r>
        <r>
          <rPr>
            <sz val="9"/>
            <color indexed="81"/>
            <rFont val="Tahoma"/>
            <family val="2"/>
          </rPr>
          <t xml:space="preserve">
181017 this amount was adjusted down to reflect the amount the company was charging per the tariff</t>
        </r>
      </text>
    </comment>
  </commentList>
</comments>
</file>

<file path=xl/comments10.xml><?xml version="1.0" encoding="utf-8"?>
<comments xmlns="http://schemas.openxmlformats.org/spreadsheetml/2006/main">
  <authors>
    <author>Johnson, Carla</author>
  </authors>
  <commentList>
    <comment ref="C7" authorId="0" shapeId="0">
      <text>
        <r>
          <rPr>
            <b/>
            <sz val="9"/>
            <color indexed="81"/>
            <rFont val="Tahoma"/>
            <family val="2"/>
          </rPr>
          <t>Johnson, Carla:</t>
        </r>
        <r>
          <rPr>
            <sz val="9"/>
            <color indexed="81"/>
            <rFont val="Tahoma"/>
            <family val="2"/>
          </rPr>
          <t xml:space="preserve">
RSA Workbook/Single Family/4176 Tons column L</t>
        </r>
      </text>
    </comment>
  </commentList>
</comments>
</file>

<file path=xl/comments11.xml><?xml version="1.0" encoding="utf-8"?>
<comments xmlns="http://schemas.openxmlformats.org/spreadsheetml/2006/main">
  <authors>
    <author>Johnson, Carla</author>
    <author>Alex Brenner</author>
  </authors>
  <commentList>
    <comment ref="B8" authorId="0" shapeId="0">
      <text>
        <r>
          <rPr>
            <b/>
            <sz val="9"/>
            <color indexed="81"/>
            <rFont val="Tahoma"/>
            <family val="2"/>
          </rPr>
          <t>Johnson, Carla:</t>
        </r>
        <r>
          <rPr>
            <sz val="9"/>
            <color indexed="81"/>
            <rFont val="Tahoma"/>
            <family val="2"/>
          </rPr>
          <t xml:space="preserve">
copy from RSA Workbook
Multifamily Tab
4176 Yards column K</t>
        </r>
      </text>
    </comment>
    <comment ref="F36" authorId="1"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F40" authorId="1"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12.xml><?xml version="1.0" encoding="utf-8"?>
<comments xmlns="http://schemas.openxmlformats.org/spreadsheetml/2006/main">
  <authors>
    <author>Johnson, Carla</author>
  </authors>
  <commentList>
    <comment ref="Q7" authorId="0" shapeId="0">
      <text>
        <r>
          <rPr>
            <b/>
            <sz val="9"/>
            <color indexed="81"/>
            <rFont val="Tahoma"/>
            <family val="2"/>
          </rPr>
          <t>Johnson, Carla:</t>
        </r>
        <r>
          <rPr>
            <sz val="9"/>
            <color indexed="81"/>
            <rFont val="Tahoma"/>
            <family val="2"/>
          </rPr>
          <t xml:space="preserve">
copy from RSA Workbook/MF Tab/column M - 176 Commodity Value</t>
        </r>
      </text>
    </comment>
  </commentList>
</comments>
</file>

<file path=xl/comments13.xml><?xml version="1.0" encoding="utf-8"?>
<comments xmlns="http://schemas.openxmlformats.org/spreadsheetml/2006/main">
  <authors>
    <author>Johnson, Carla</author>
    <author>Alex Brenner</author>
  </authors>
  <commentList>
    <comment ref="C7" authorId="0" shapeId="0">
      <text>
        <r>
          <rPr>
            <b/>
            <sz val="9"/>
            <color indexed="81"/>
            <rFont val="Tahoma"/>
            <family val="2"/>
          </rPr>
          <t>Johnson, Carla:</t>
        </r>
        <r>
          <rPr>
            <sz val="9"/>
            <color indexed="81"/>
            <rFont val="Tahoma"/>
            <family val="2"/>
          </rPr>
          <t xml:space="preserve">
RSA Workbook/Multifamily/4176 Tons column L</t>
        </r>
      </text>
    </comment>
    <comment ref="A12" authorId="1" shapeId="0">
      <text>
        <r>
          <rPr>
            <b/>
            <sz val="8"/>
            <color indexed="81"/>
            <rFont val="Tahoma"/>
            <family val="2"/>
          </rPr>
          <t>Alex Brenner:</t>
        </r>
        <r>
          <rPr>
            <sz val="8"/>
            <color indexed="81"/>
            <rFont val="Tahoma"/>
            <family val="2"/>
          </rPr>
          <t xml:space="preserve">
From ESMMYYTONS Spreadsheet, 'Prices' tab (where MM=month, YY=Year)</t>
        </r>
      </text>
    </comment>
  </commentList>
</comments>
</file>

<file path=xl/comments14.xml><?xml version="1.0" encoding="utf-8"?>
<comments xmlns="http://schemas.openxmlformats.org/spreadsheetml/2006/main">
  <authors>
    <author>Vander Zalm, Connor</author>
    <author>Alex Brenner</author>
  </authors>
  <commentList>
    <comment ref="B9" authorId="0" shape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F32" authorId="1"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F36" authorId="1"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15.xml><?xml version="1.0" encoding="utf-8"?>
<comments xmlns="http://schemas.openxmlformats.org/spreadsheetml/2006/main">
  <authors>
    <author>Vander Zalm, Connor</author>
    <author>Alex Brenner</author>
  </authors>
  <commentList>
    <comment ref="C7" authorId="0" shape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A12" authorId="1" shapeId="0">
      <text>
        <r>
          <rPr>
            <b/>
            <sz val="8"/>
            <color indexed="81"/>
            <rFont val="Tahoma"/>
            <family val="2"/>
          </rPr>
          <t>Alex Brenner:</t>
        </r>
        <r>
          <rPr>
            <sz val="8"/>
            <color indexed="81"/>
            <rFont val="Tahoma"/>
            <family val="2"/>
          </rPr>
          <t xml:space="preserve">
From ESMMYYTONS Spreadsheet, 'Prices' tab (where MM=month, YY=Year)</t>
        </r>
      </text>
    </comment>
  </commentList>
</comments>
</file>

<file path=xl/comments16.xml><?xml version="1.0" encoding="utf-8"?>
<comments xmlns="http://schemas.openxmlformats.org/spreadsheetml/2006/main">
  <authors>
    <author>Christensen, Abby Rose</author>
    <author>Vander Zalm, Connor</author>
    <author>Alex Brenner</author>
  </authors>
  <commentList>
    <comment ref="B8" authorId="0" shapeId="0">
      <text>
        <r>
          <rPr>
            <b/>
            <sz val="9"/>
            <color indexed="81"/>
            <rFont val="Tahoma"/>
            <family val="2"/>
          </rPr>
          <t>Christensen, Abby Rose:</t>
        </r>
        <r>
          <rPr>
            <sz val="9"/>
            <color indexed="81"/>
            <rFont val="Tahoma"/>
            <family val="2"/>
          </rPr>
          <t xml:space="preserve">
Only includes Black Diamond, Covington, and Unincorp. County
</t>
        </r>
        <r>
          <rPr>
            <b/>
            <sz val="9"/>
            <color indexed="81"/>
            <rFont val="Tahoma"/>
            <family val="2"/>
          </rPr>
          <t>Vander Zalm, Connor:</t>
        </r>
        <r>
          <rPr>
            <sz val="9"/>
            <color indexed="81"/>
            <rFont val="Tahoma"/>
            <family val="2"/>
          </rPr>
          <t xml:space="preserve">
We will continue to include Auburn and Renton (although they have annexed) until they have independent city contracts and are no longer to WUTC rates and commodity credits.
This timeline varies between the 2 areas and there is no actual hard date on which they convert. Will have to monitor this.
Now Includes Auburn and Renton*</t>
        </r>
      </text>
    </comment>
    <comment ref="B9" authorId="1" shape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F33" authorId="2"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F37" authorId="2"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17.xml><?xml version="1.0" encoding="utf-8"?>
<comments xmlns="http://schemas.openxmlformats.org/spreadsheetml/2006/main">
  <authors>
    <author>Vander Zalm, Connor</author>
  </authors>
  <commentList>
    <comment ref="C7" authorId="0" shape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List>
</comments>
</file>

<file path=xl/comments18.xml><?xml version="1.0" encoding="utf-8"?>
<comments xmlns="http://schemas.openxmlformats.org/spreadsheetml/2006/main">
  <authors>
    <author>Young, Mike (UTC)</author>
  </authors>
  <commentList>
    <comment ref="B7" authorId="0" shapeId="0">
      <text>
        <r>
          <rPr>
            <b/>
            <sz val="9"/>
            <color indexed="81"/>
            <rFont val="Tahoma"/>
            <family val="2"/>
          </rPr>
          <t>Young, Mike (UTC):</t>
        </r>
        <r>
          <rPr>
            <sz val="9"/>
            <color indexed="81"/>
            <rFont val="Tahoma"/>
            <family val="2"/>
          </rPr>
          <t xml:space="preserve">
was 52.38% per company filing</t>
        </r>
      </text>
    </comment>
  </commentList>
</comments>
</file>

<file path=xl/comments19.xml><?xml version="1.0" encoding="utf-8"?>
<comments xmlns="http://schemas.openxmlformats.org/spreadsheetml/2006/main">
  <authors>
    <author>Christensen, Abby Rose</author>
    <author>Vander Zalm, Connor</author>
    <author>Alex Brenner</author>
  </authors>
  <commentList>
    <comment ref="B8" authorId="0" shapeId="0">
      <text>
        <r>
          <rPr>
            <b/>
            <sz val="9"/>
            <color indexed="81"/>
            <rFont val="Tahoma"/>
            <family val="2"/>
          </rPr>
          <t>Christensen, Abby Rose:</t>
        </r>
        <r>
          <rPr>
            <sz val="9"/>
            <color indexed="81"/>
            <rFont val="Tahoma"/>
            <family val="2"/>
          </rPr>
          <t xml:space="preserve">
Only includes Black Diamond, Covington, and Unincorp. County
</t>
        </r>
        <r>
          <rPr>
            <b/>
            <sz val="9"/>
            <color indexed="81"/>
            <rFont val="Tahoma"/>
            <family val="2"/>
          </rPr>
          <t>Vander Zalm, Connor:</t>
        </r>
        <r>
          <rPr>
            <sz val="9"/>
            <color indexed="81"/>
            <rFont val="Tahoma"/>
            <family val="2"/>
          </rPr>
          <t xml:space="preserve">
We will continue to include Auburn and Renton (although they have annexed) until they have independent city contracts and are no longer to WUTC rates and commodity credits.
This timeline varies between the 2 areas and there is no actual hard date on which they convert. Will have to monitor this.
Now Includes Auburn and Renton*</t>
        </r>
      </text>
    </comment>
    <comment ref="B9" authorId="1" shape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F33" authorId="2"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F37" authorId="2"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G56" authorId="0" shapeId="0">
      <text>
        <r>
          <rPr>
            <b/>
            <sz val="9"/>
            <color indexed="81"/>
            <rFont val="Tahoma"/>
            <family val="2"/>
          </rPr>
          <t>Christensen, Abby Rose:</t>
        </r>
        <r>
          <rPr>
            <sz val="9"/>
            <color indexed="81"/>
            <rFont val="Tahoma"/>
            <family val="2"/>
          </rPr>
          <t xml:space="preserve">
copy and paste this value into cell F37 </t>
        </r>
      </text>
    </comment>
  </commentList>
</comments>
</file>

<file path=xl/comments2.xml><?xml version="1.0" encoding="utf-8"?>
<comments xmlns="http://schemas.openxmlformats.org/spreadsheetml/2006/main">
  <authors>
    <author>Johnson, Carla</author>
    <author>Alex Brenner</author>
  </authors>
  <commentList>
    <comment ref="B8" authorId="0" shapeId="0">
      <text>
        <r>
          <rPr>
            <b/>
            <sz val="9"/>
            <color indexed="81"/>
            <rFont val="Tahoma"/>
            <family val="2"/>
          </rPr>
          <t>Johnson, Carla:</t>
        </r>
        <r>
          <rPr>
            <sz val="9"/>
            <color indexed="81"/>
            <rFont val="Tahoma"/>
            <family val="2"/>
          </rPr>
          <t xml:space="preserve">
copy from RSA Workbook
Multifamily Tab
4176 Yards column K</t>
        </r>
      </text>
    </comment>
    <comment ref="F36" authorId="1"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F40" authorId="1"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20.xml><?xml version="1.0" encoding="utf-8"?>
<comments xmlns="http://schemas.openxmlformats.org/spreadsheetml/2006/main">
  <authors>
    <author>Vander Zalm, Connor</author>
  </authors>
  <commentList>
    <comment ref="Q7" authorId="0" shapeId="0">
      <text>
        <r>
          <rPr>
            <b/>
            <sz val="9"/>
            <color indexed="81"/>
            <rFont val="Tahoma"/>
            <family val="2"/>
          </rPr>
          <t>Vander Zalm, Connor:</t>
        </r>
        <r>
          <rPr>
            <sz val="9"/>
            <color indexed="81"/>
            <rFont val="Tahoma"/>
            <family val="2"/>
          </rPr>
          <t xml:space="preserve">
This comes from Alex Brenner's "4176 218070 Commodity Credit Adjustment" JE workbook. On the summary tab he has a column labeled "SF (or MF) Passback."
this is the only piece of info we take from this workbook. Other info comes from Debbie G's "Tons Mater File" or  Jeff Sichmeller from the MRF for Commodity sales prices per ton
</t>
        </r>
      </text>
    </comment>
  </commentList>
</comments>
</file>

<file path=xl/comments21.xml><?xml version="1.0" encoding="utf-8"?>
<comments xmlns="http://schemas.openxmlformats.org/spreadsheetml/2006/main">
  <authors>
    <author>Vander Zalm, Connor</author>
  </authors>
  <commentList>
    <comment ref="C7" authorId="0" shape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List>
</comments>
</file>

<file path=xl/comments22.xml><?xml version="1.0" encoding="utf-8"?>
<comments xmlns="http://schemas.openxmlformats.org/spreadsheetml/2006/main">
  <authors>
    <author>Vander Zalm, Connor</author>
    <author>Young, Mike (UTC)</author>
    <author>Alex Brenner</author>
  </authors>
  <commentList>
    <comment ref="B9" authorId="0" shape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B11" authorId="1" shapeId="0">
      <text>
        <r>
          <rPr>
            <b/>
            <sz val="9"/>
            <color indexed="81"/>
            <rFont val="Tahoma"/>
            <family val="2"/>
          </rPr>
          <t>Young, Mike (UTC):</t>
        </r>
        <r>
          <rPr>
            <sz val="9"/>
            <color indexed="81"/>
            <rFont val="Tahoma"/>
            <family val="2"/>
          </rPr>
          <t xml:space="preserve">
formula error: only includes B9 and B10</t>
        </r>
      </text>
    </comment>
    <comment ref="F32" authorId="2"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F36" authorId="2"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23.xml><?xml version="1.0" encoding="utf-8"?>
<comments xmlns="http://schemas.openxmlformats.org/spreadsheetml/2006/main">
  <authors>
    <author>Vander Zalm, Connor</author>
  </authors>
  <commentList>
    <comment ref="Q7" authorId="0" shapeId="0">
      <text>
        <r>
          <rPr>
            <b/>
            <sz val="9"/>
            <color indexed="81"/>
            <rFont val="Tahoma"/>
            <family val="2"/>
          </rPr>
          <t>Vander Zalm, Connor:</t>
        </r>
        <r>
          <rPr>
            <sz val="9"/>
            <color indexed="81"/>
            <rFont val="Tahoma"/>
            <family val="2"/>
          </rPr>
          <t xml:space="preserve">
This comes from Alex Brenner's "4176 218070 Commodity Credit Adjustment" JE workbook. On the summary tab he has a column labeled "SF (or MF) Passback."
this is the only piece of info we take from this workbook. Other info comes from Debbie G's "Tons Mater File" or  Jeff Sichmeller from the MRF for Commodity sales prices per ton
</t>
        </r>
      </text>
    </comment>
  </commentList>
</comments>
</file>

<file path=xl/comments24.xml><?xml version="1.0" encoding="utf-8"?>
<comments xmlns="http://schemas.openxmlformats.org/spreadsheetml/2006/main">
  <authors>
    <author>Vander Zalm, Connor</author>
    <author>Alex Brenner</author>
  </authors>
  <commentList>
    <comment ref="C7" authorId="0" shapeId="0">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A12" authorId="1" shapeId="0">
      <text>
        <r>
          <rPr>
            <b/>
            <sz val="8"/>
            <color indexed="81"/>
            <rFont val="Tahoma"/>
            <family val="2"/>
          </rPr>
          <t>Alex Brenner:</t>
        </r>
        <r>
          <rPr>
            <sz val="8"/>
            <color indexed="81"/>
            <rFont val="Tahoma"/>
            <family val="2"/>
          </rPr>
          <t xml:space="preserve">
From ESMMYYTONS Spreadsheet, 'Prices' tab (where MM=month, YY=Year)</t>
        </r>
      </text>
    </comment>
  </commentList>
</comments>
</file>

<file path=xl/comments3.xml><?xml version="1.0" encoding="utf-8"?>
<comments xmlns="http://schemas.openxmlformats.org/spreadsheetml/2006/main">
  <authors>
    <author>Johnson, Carla</author>
  </authors>
  <commentList>
    <comment ref="Q7" authorId="0" shapeId="0">
      <text>
        <r>
          <rPr>
            <b/>
            <sz val="9"/>
            <color indexed="81"/>
            <rFont val="Tahoma"/>
            <family val="2"/>
          </rPr>
          <t>Johnson, Carla:</t>
        </r>
        <r>
          <rPr>
            <sz val="9"/>
            <color indexed="81"/>
            <rFont val="Tahoma"/>
            <family val="2"/>
          </rPr>
          <t xml:space="preserve">
copy from RSA Workbook/MF Tab/column M - 176 Commodity Value</t>
        </r>
      </text>
    </comment>
  </commentList>
</comments>
</file>

<file path=xl/comments4.xml><?xml version="1.0" encoding="utf-8"?>
<comments xmlns="http://schemas.openxmlformats.org/spreadsheetml/2006/main">
  <authors>
    <author>Johnson, Carla</author>
    <author>Alex Brenner</author>
  </authors>
  <commentList>
    <comment ref="C7" authorId="0" shapeId="0">
      <text>
        <r>
          <rPr>
            <b/>
            <sz val="9"/>
            <color indexed="81"/>
            <rFont val="Tahoma"/>
            <family val="2"/>
          </rPr>
          <t>Johnson, Carla:</t>
        </r>
        <r>
          <rPr>
            <sz val="9"/>
            <color indexed="81"/>
            <rFont val="Tahoma"/>
            <family val="2"/>
          </rPr>
          <t xml:space="preserve">
RSA Workbook/Multifamily/4176 Tons column L</t>
        </r>
      </text>
    </comment>
    <comment ref="A12" authorId="1" shapeId="0">
      <text>
        <r>
          <rPr>
            <b/>
            <sz val="8"/>
            <color indexed="81"/>
            <rFont val="Tahoma"/>
            <family val="2"/>
          </rPr>
          <t>Alex Brenner:</t>
        </r>
        <r>
          <rPr>
            <sz val="8"/>
            <color indexed="81"/>
            <rFont val="Tahoma"/>
            <family val="2"/>
          </rPr>
          <t xml:space="preserve">
From ESMMYYTONS Spreadsheet, 'Prices' tab (where MM=month, YY=Year)</t>
        </r>
      </text>
    </comment>
  </commentList>
</comments>
</file>

<file path=xl/comments5.xml><?xml version="1.0" encoding="utf-8"?>
<comments xmlns="http://schemas.openxmlformats.org/spreadsheetml/2006/main">
  <authors>
    <author>Johnson, Carla</author>
    <author>Alex Brenner</author>
  </authors>
  <commentList>
    <comment ref="B8" authorId="0" shapeId="0">
      <text>
        <r>
          <rPr>
            <b/>
            <sz val="9"/>
            <color indexed="81"/>
            <rFont val="Tahoma"/>
            <family val="2"/>
          </rPr>
          <t>Johnson, Carla:</t>
        </r>
        <r>
          <rPr>
            <sz val="9"/>
            <color indexed="81"/>
            <rFont val="Tahoma"/>
            <family val="2"/>
          </rPr>
          <t xml:space="preserve">
RSA Workbook/Single Family Tab/4176 # of customers column K
</t>
        </r>
      </text>
    </comment>
    <comment ref="F39" authorId="1"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F43" authorId="1"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6.xml><?xml version="1.0" encoding="utf-8"?>
<comments xmlns="http://schemas.openxmlformats.org/spreadsheetml/2006/main">
  <authors>
    <author>Johnson, Carla</author>
  </authors>
  <commentList>
    <comment ref="Q7" authorId="0" shapeId="0">
      <text>
        <r>
          <rPr>
            <b/>
            <sz val="9"/>
            <color indexed="81"/>
            <rFont val="Tahoma"/>
            <family val="2"/>
          </rPr>
          <t>Johnson, Carla:</t>
        </r>
        <r>
          <rPr>
            <sz val="9"/>
            <color indexed="81"/>
            <rFont val="Tahoma"/>
            <family val="2"/>
          </rPr>
          <t xml:space="preserve">
RSA Workbook/Single Family/4176 Commodity Value column M</t>
        </r>
      </text>
    </comment>
  </commentList>
</comments>
</file>

<file path=xl/comments7.xml><?xml version="1.0" encoding="utf-8"?>
<comments xmlns="http://schemas.openxmlformats.org/spreadsheetml/2006/main">
  <authors>
    <author>Johnson, Carla</author>
  </authors>
  <commentList>
    <comment ref="C7" authorId="0" shapeId="0">
      <text>
        <r>
          <rPr>
            <b/>
            <sz val="9"/>
            <color indexed="81"/>
            <rFont val="Tahoma"/>
            <family val="2"/>
          </rPr>
          <t>Johnson, Carla:</t>
        </r>
        <r>
          <rPr>
            <sz val="9"/>
            <color indexed="81"/>
            <rFont val="Tahoma"/>
            <family val="2"/>
          </rPr>
          <t xml:space="preserve">
RSA Workbook/Single Family/4176 Tons column L</t>
        </r>
      </text>
    </comment>
  </commentList>
</comments>
</file>

<file path=xl/comments8.xml><?xml version="1.0" encoding="utf-8"?>
<comments xmlns="http://schemas.openxmlformats.org/spreadsheetml/2006/main">
  <authors>
    <author>Johnson, Carla</author>
    <author>Alex Brenner</author>
  </authors>
  <commentList>
    <comment ref="B8" authorId="0" shapeId="0">
      <text>
        <r>
          <rPr>
            <b/>
            <sz val="9"/>
            <color indexed="81"/>
            <rFont val="Tahoma"/>
            <family val="2"/>
          </rPr>
          <t>Johnson, Carla:</t>
        </r>
        <r>
          <rPr>
            <sz val="9"/>
            <color indexed="81"/>
            <rFont val="Tahoma"/>
            <family val="2"/>
          </rPr>
          <t xml:space="preserve">
RSA Workbook/Single Family Tab/4176 # of customers column K
</t>
        </r>
      </text>
    </comment>
    <comment ref="F39" authorId="1"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 ref="F43" authorId="1" shapeId="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9.xml><?xml version="1.0" encoding="utf-8"?>
<comments xmlns="http://schemas.openxmlformats.org/spreadsheetml/2006/main">
  <authors>
    <author>Johnson, Carla</author>
  </authors>
  <commentList>
    <comment ref="Q7" authorId="0" shapeId="0">
      <text>
        <r>
          <rPr>
            <b/>
            <sz val="9"/>
            <color indexed="81"/>
            <rFont val="Tahoma"/>
            <family val="2"/>
          </rPr>
          <t>Johnson, Carla:</t>
        </r>
        <r>
          <rPr>
            <sz val="9"/>
            <color indexed="81"/>
            <rFont val="Tahoma"/>
            <family val="2"/>
          </rPr>
          <t xml:space="preserve">
RSA Workbook/Single Family/4176 Commodity Value column M</t>
        </r>
      </text>
    </comment>
  </commentList>
</comments>
</file>

<file path=xl/sharedStrings.xml><?xml version="1.0" encoding="utf-8"?>
<sst xmlns="http://schemas.openxmlformats.org/spreadsheetml/2006/main" count="1965" uniqueCount="238">
  <si>
    <t>Kent-Meridian Disposal</t>
  </si>
  <si>
    <t>Deferred Accounting Methodology</t>
  </si>
  <si>
    <t>Single Family</t>
  </si>
  <si>
    <t>Commodity</t>
  </si>
  <si>
    <t>Revenue</t>
  </si>
  <si>
    <t>Annual</t>
  </si>
  <si>
    <t>Month</t>
  </si>
  <si>
    <t>Customers</t>
  </si>
  <si>
    <t>per Customer</t>
  </si>
  <si>
    <t>(b1)</t>
  </si>
  <si>
    <t>(b2)</t>
  </si>
  <si>
    <t>(a)</t>
  </si>
  <si>
    <t>(c)</t>
  </si>
  <si>
    <t>(d)</t>
  </si>
  <si>
    <t>Commodity Gain/Loss Calculation</t>
  </si>
  <si>
    <t>Actual Commodity Revenues</t>
  </si>
  <si>
    <t>Monthly Base Credit per customer</t>
  </si>
  <si>
    <t xml:space="preserve">   Base Credits Billed</t>
  </si>
  <si>
    <t xml:space="preserve">      Total Base Credits Billed</t>
  </si>
  <si>
    <t>Total Annual Customers</t>
  </si>
  <si>
    <t>Kent Meridian Disposal</t>
  </si>
  <si>
    <t>Alum</t>
  </si>
  <si>
    <t>Glass</t>
  </si>
  <si>
    <t>Tin/Iron</t>
  </si>
  <si>
    <t>ONP</t>
  </si>
  <si>
    <t>MWP</t>
  </si>
  <si>
    <t>Pet</t>
  </si>
  <si>
    <t>HDPE</t>
  </si>
  <si>
    <t>OCC</t>
  </si>
  <si>
    <t>Other</t>
  </si>
  <si>
    <t>Total</t>
  </si>
  <si>
    <t xml:space="preserve"> </t>
  </si>
  <si>
    <t>Monthly Average</t>
  </si>
  <si>
    <t xml:space="preserve">Total </t>
  </si>
  <si>
    <t>Total Tons</t>
  </si>
  <si>
    <t>Sorted Glass Percentage</t>
  </si>
  <si>
    <t>Sorted Glass</t>
  </si>
  <si>
    <t>Sampled Tons</t>
  </si>
  <si>
    <t>Sampling Percentages</t>
  </si>
  <si>
    <t>Magazines</t>
  </si>
  <si>
    <t>Tin</t>
  </si>
  <si>
    <t>Plastic</t>
  </si>
  <si>
    <t>Aluminum</t>
  </si>
  <si>
    <t>Ferris Metal</t>
  </si>
  <si>
    <t>Glass Contamination</t>
  </si>
  <si>
    <t>Trash</t>
  </si>
  <si>
    <t>Mixed Paper</t>
  </si>
  <si>
    <t>Sampled Tonnage</t>
  </si>
  <si>
    <t>Recovery Percentages</t>
  </si>
  <si>
    <t>Recovered Tonnages</t>
  </si>
  <si>
    <t xml:space="preserve">Product Sales Rates </t>
  </si>
  <si>
    <t>Product Value</t>
  </si>
  <si>
    <t>Total Value</t>
  </si>
  <si>
    <t>Value per Ton</t>
  </si>
  <si>
    <t>12 month running average "BASE CREDIT"</t>
  </si>
  <si>
    <t>Glass (cont.)</t>
  </si>
  <si>
    <t>Total Additional Passback</t>
  </si>
  <si>
    <t>Single-Family Additional Credit</t>
  </si>
  <si>
    <t>TG-12______</t>
  </si>
  <si>
    <t>For use in Budget Calculation</t>
  </si>
  <si>
    <t>Total Trailing 12 Mo. Commodity Value / Customer</t>
  </si>
  <si>
    <t>Most recent Total # of Customers</t>
  </si>
  <si>
    <t>Base Credit to be Passed Back</t>
  </si>
  <si>
    <t>Budget total Revenue</t>
  </si>
  <si>
    <t>Budget Revenue Passed Back</t>
  </si>
  <si>
    <t>Current Plan Part A Total</t>
  </si>
  <si>
    <t>Prior Plan Part B Total</t>
  </si>
  <si>
    <t>% of Revenue Passed Back</t>
  </si>
  <si>
    <t>% Passed Back</t>
  </si>
  <si>
    <t>Average</t>
  </si>
  <si>
    <t>Commodities</t>
  </si>
  <si>
    <t>Budget</t>
  </si>
  <si>
    <t>Weigted Ave $/Tn</t>
  </si>
  <si>
    <t>Variance - $ / ton</t>
  </si>
  <si>
    <t>Total Revenue Impact</t>
  </si>
  <si>
    <t>average</t>
  </si>
  <si>
    <t>Retained</t>
  </si>
  <si>
    <t>-</t>
  </si>
  <si>
    <t>2014/2015 plan year total tons</t>
  </si>
  <si>
    <t>2014/2015 plan YTD ave tons/month</t>
  </si>
  <si>
    <t xml:space="preserve">12 month </t>
  </si>
  <si>
    <t>Multi-Family</t>
  </si>
  <si>
    <t>Yards</t>
  </si>
  <si>
    <t>per Yard</t>
  </si>
  <si>
    <t>Total yards</t>
  </si>
  <si>
    <t>Prior Plan B Total</t>
  </si>
  <si>
    <t>Plan A Total</t>
  </si>
  <si>
    <t>Monthly Base Credit per Yard</t>
  </si>
  <si>
    <t>Total Annual Yards</t>
  </si>
  <si>
    <t>Compacted</t>
  </si>
  <si>
    <t>Multi-Family Additional Passback</t>
  </si>
  <si>
    <t>See revenue passback split up worksheet.</t>
  </si>
  <si>
    <t>Multi-Family Additional Credit</t>
  </si>
  <si>
    <t>3.5x Compaction</t>
  </si>
  <si>
    <t>5x Compaction</t>
  </si>
  <si>
    <t>Kent-Meridian - Multi Family</t>
  </si>
  <si>
    <t>.</t>
  </si>
  <si>
    <t>Fiorito Enterprises (Kent Meridian) commodity adjustment</t>
  </si>
  <si>
    <t>Based on previous UTC Staff analyses</t>
  </si>
  <si>
    <t>Do not use cumulative method</t>
  </si>
  <si>
    <t>per docket TG-131164</t>
  </si>
  <si>
    <t>per docket TG-121058</t>
  </si>
  <si>
    <t>per docket TG-111121</t>
  </si>
  <si>
    <t>2014-2015</t>
  </si>
  <si>
    <t>2013-2014</t>
  </si>
  <si>
    <t>2012-2013</t>
  </si>
  <si>
    <t>2011-2012</t>
  </si>
  <si>
    <t>Residential</t>
  </si>
  <si>
    <t>Credit</t>
  </si>
  <si>
    <t>Credits</t>
  </si>
  <si>
    <t>Projected Revenue May 2013-April 2014</t>
  </si>
  <si>
    <t>Projected Revenue May 2012-April 2013</t>
  </si>
  <si>
    <t>Projected Revenue October 2011-April 2012</t>
  </si>
  <si>
    <t>Projected Revenue October 2010-September 2011</t>
  </si>
  <si>
    <t>May-Jul projected value without adjustment factor</t>
  </si>
  <si>
    <t>Jul-Dec projected value without adjustment factor</t>
  </si>
  <si>
    <t>May-Dec projected value without adjustment factor</t>
  </si>
  <si>
    <t>Aug-April projected value without adjustment factor</t>
  </si>
  <si>
    <t>Jan-Jun projected value without adjustment factor</t>
  </si>
  <si>
    <t>Jan-Apr projected value without adjustment factor</t>
  </si>
  <si>
    <t>Actual Commodity Revenue</t>
  </si>
  <si>
    <t>Actual Commodity Revenue (adj. to reflect current customers)</t>
  </si>
  <si>
    <t>Owe Customer (company)</t>
  </si>
  <si>
    <t>Total Customers</t>
  </si>
  <si>
    <t>Commodity Adjustment</t>
  </si>
  <si>
    <t>Projected Revenue October 2011-September 2012</t>
  </si>
  <si>
    <t>Projected Value</t>
  </si>
  <si>
    <t>Residential Commodity Adjustment</t>
  </si>
  <si>
    <t>Additional credit</t>
  </si>
  <si>
    <t>Adjusted Credit</t>
  </si>
  <si>
    <t>Multi-family</t>
  </si>
  <si>
    <t>Multi-family Commodity Adjustment</t>
  </si>
  <si>
    <t>per docket TG-141290</t>
  </si>
  <si>
    <t>per docket TG-151226</t>
  </si>
  <si>
    <t>2015-2016</t>
  </si>
  <si>
    <t>Projected Revenue May 2014-April 2015</t>
  </si>
  <si>
    <t>Projected Revenue May 2015-April 2016</t>
  </si>
  <si>
    <t xml:space="preserve">King County </t>
  </si>
  <si>
    <t xml:space="preserve">Revenue Returned to Customers </t>
  </si>
  <si>
    <t>unspent revenue to be returned to customer:</t>
  </si>
  <si>
    <t>SF % breakdown</t>
  </si>
  <si>
    <t>MF % breakdown</t>
  </si>
  <si>
    <t>$ check</t>
  </si>
  <si>
    <t xml:space="preserve">Snohomish County </t>
  </si>
  <si>
    <t>unspend revenue to be returned to customer:</t>
  </si>
  <si>
    <t xml:space="preserve">$ check </t>
  </si>
  <si>
    <t>2015 Net Monthly Credit</t>
  </si>
  <si>
    <t>SF</t>
  </si>
  <si>
    <t>MF</t>
  </si>
  <si>
    <t>Resi MSW Customers</t>
  </si>
  <si>
    <t>Tons</t>
  </si>
  <si>
    <t>Renton Customers</t>
  </si>
  <si>
    <t>Renton Tons</t>
  </si>
  <si>
    <t>Tons (ex-Renton)</t>
  </si>
  <si>
    <t>Customers (ex-Renton)</t>
  </si>
  <si>
    <t>SeaTac</t>
  </si>
  <si>
    <t>Kent-Meridian</t>
  </si>
  <si>
    <t>2016-2017</t>
  </si>
  <si>
    <t>per docket TG-160607</t>
  </si>
  <si>
    <t>* All hardcode values come from company worksheets and support papers</t>
  </si>
  <si>
    <t>Commodity Value</t>
  </si>
  <si>
    <t>2016 Rev Cap 50%</t>
  </si>
  <si>
    <t>2016 Allocated Company Portion of Commodity Revenue</t>
  </si>
  <si>
    <t>2016 Customer portion of Commodity Value</t>
  </si>
  <si>
    <t>Eastside</t>
  </si>
  <si>
    <t>Fiorito</t>
  </si>
  <si>
    <t>Lynnwood</t>
  </si>
  <si>
    <t>King</t>
  </si>
  <si>
    <t>Sno</t>
  </si>
  <si>
    <t>MF Family</t>
  </si>
  <si>
    <t>2016 Rev Cap</t>
  </si>
  <si>
    <t>Grand Total</t>
  </si>
  <si>
    <t>King Rev Share Plan</t>
  </si>
  <si>
    <t>Commodity Budget</t>
  </si>
  <si>
    <t>2016 Actual</t>
  </si>
  <si>
    <t>Remaining for 2017</t>
  </si>
  <si>
    <t>Task 1</t>
  </si>
  <si>
    <t>Project Management</t>
  </si>
  <si>
    <t>Task 2</t>
  </si>
  <si>
    <t>Data reporting</t>
  </si>
  <si>
    <t>Task 3</t>
  </si>
  <si>
    <t>MF Outreach</t>
  </si>
  <si>
    <t>Task 4</t>
  </si>
  <si>
    <t>Customer Communication</t>
  </si>
  <si>
    <t>Task 5</t>
  </si>
  <si>
    <t>Yard/Food container Pilot</t>
  </si>
  <si>
    <t>Task 6</t>
  </si>
  <si>
    <t>Contamination Reduction</t>
  </si>
  <si>
    <t>5% bonus</t>
  </si>
  <si>
    <t>Gand total</t>
  </si>
  <si>
    <t>Sno Rev Share Plan</t>
  </si>
  <si>
    <t>Annual Mailer</t>
  </si>
  <si>
    <t>School Recycling</t>
  </si>
  <si>
    <t>Task 7</t>
  </si>
  <si>
    <t>Recycle Right</t>
  </si>
  <si>
    <t>Single Family Customers</t>
  </si>
  <si>
    <t>Docket</t>
  </si>
  <si>
    <t>DBA</t>
  </si>
  <si>
    <t>Lynwood</t>
  </si>
  <si>
    <t xml:space="preserve">May </t>
  </si>
  <si>
    <t>June</t>
  </si>
  <si>
    <t>July</t>
  </si>
  <si>
    <t>August</t>
  </si>
  <si>
    <t>September</t>
  </si>
  <si>
    <t>October</t>
  </si>
  <si>
    <t>November</t>
  </si>
  <si>
    <t>December</t>
  </si>
  <si>
    <t>January</t>
  </si>
  <si>
    <t>February</t>
  </si>
  <si>
    <t>March</t>
  </si>
  <si>
    <t>April</t>
  </si>
  <si>
    <t>Multi Family Yards</t>
  </si>
  <si>
    <t>2017-2018</t>
  </si>
  <si>
    <t>per docket TG-170708</t>
  </si>
  <si>
    <t>Projected Revenue May 2016-April 2017</t>
  </si>
  <si>
    <t>Projected Revenue May 2017-April 2018</t>
  </si>
  <si>
    <t>2016/2017 plan YTD ave tons/month</t>
  </si>
  <si>
    <t>2016/2017 plan year tons YTD</t>
  </si>
  <si>
    <t>variance</t>
  </si>
  <si>
    <t>As of 04/16</t>
  </si>
  <si>
    <t>2018-2018.5</t>
  </si>
  <si>
    <t>per docket TG-180485</t>
  </si>
  <si>
    <t>Projected Revenue November 2017-April 2018</t>
  </si>
  <si>
    <t>Yr 1 spend will be included during Yr 2</t>
  </si>
  <si>
    <t>November 2017 - April 2018</t>
  </si>
  <si>
    <t>Avg of last 6 months plan year</t>
  </si>
  <si>
    <t>11/18-4/19 Adjusted Credit</t>
  </si>
  <si>
    <t>6 month running average "BASE CREDIT"</t>
  </si>
  <si>
    <t>Projected Credit</t>
  </si>
  <si>
    <t>Total Bi-Annual Customers</t>
  </si>
  <si>
    <t xml:space="preserve"> True-up Computation</t>
  </si>
  <si>
    <t xml:space="preserve"> Recycle Adjustment Calculation</t>
  </si>
  <si>
    <t>11/18 - 4/19 Adjusted Debit</t>
  </si>
  <si>
    <t>Projected Debit</t>
  </si>
  <si>
    <t>May 2018-October 2018</t>
  </si>
  <si>
    <t>2018.5-2019</t>
  </si>
  <si>
    <t>company retained</t>
  </si>
  <si>
    <t>Total Yards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</si>
</sst>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 #,##0.000_);_(* \(#,##0.000\);_(* &quot;-&quot;_);_(@_)"/>
    <numFmt numFmtId="168" formatCode="mmmm"/>
    <numFmt numFmtId="169" formatCode="#,##0.000"/>
    <numFmt numFmtId="170" formatCode="_(&quot;$&quot;* #,##0.000_);_(&quot;$&quot;* \(#,##0.000\);_(&quot;$&quot;* &quot;-&quot;??_);_(@_)"/>
    <numFmt numFmtId="171" formatCode="_(&quot;$&quot;* #,##0_);_(&quot;$&quot;* \(#,##0\);_(&quot;$&quot;* &quot;-&quot;??_);_(@_)"/>
    <numFmt numFmtId="172" formatCode="&quot;$&quot;#,##0.00"/>
    <numFmt numFmtId="173" formatCode="mmmm\ yyyy"/>
    <numFmt numFmtId="174" formatCode="_(* #,##0.0_);_(* \(#,##0.0\);_(* &quot;-&quot;_);_(@_)"/>
    <numFmt numFmtId="175" formatCode="_(* #,##0.0000_);_(* \(#,##0.0000\);_(* &quot;-&quot;_);_(@_)"/>
  </numFmts>
  <fonts count="37" x14ac:knownFonts="1">
    <font>
      <sz val="10"/>
      <name val="Arial"/>
    </font>
    <font>
      <sz val="10"/>
      <name val="Arial"/>
      <family val="2"/>
    </font>
    <font>
      <sz val="10"/>
      <name val="MS Sans Serif"/>
      <family val="2"/>
    </font>
    <font>
      <b/>
      <sz val="10"/>
      <name val="Arial"/>
      <family val="2"/>
    </font>
    <font>
      <sz val="8"/>
      <name val="Arial"/>
      <family val="2"/>
    </font>
    <font>
      <sz val="8"/>
      <name val="Helv"/>
    </font>
    <font>
      <b/>
      <sz val="8"/>
      <name val="Arial"/>
      <family val="2"/>
    </font>
    <font>
      <u/>
      <sz val="8"/>
      <name val="Arial"/>
      <family val="2"/>
    </font>
    <font>
      <b/>
      <u/>
      <sz val="8"/>
      <name val="Arial"/>
      <family val="2"/>
    </font>
    <font>
      <sz val="8"/>
      <color indexed="12"/>
      <name val="Arial"/>
      <family val="2"/>
    </font>
    <font>
      <i/>
      <sz val="8"/>
      <name val="Arial"/>
      <family val="2"/>
    </font>
    <font>
      <b/>
      <sz val="8"/>
      <name val="Arial"/>
      <family val="2"/>
    </font>
    <font>
      <b/>
      <sz val="8"/>
      <color indexed="81"/>
      <name val="Tahoma"/>
      <family val="2"/>
    </font>
    <font>
      <sz val="8"/>
      <color indexed="81"/>
      <name val="Tahoma"/>
      <family val="2"/>
    </font>
    <font>
      <b/>
      <i/>
      <sz val="8"/>
      <name val="Arial"/>
      <family val="2"/>
    </font>
    <font>
      <i/>
      <sz val="8"/>
      <color indexed="12"/>
      <name val="Arial"/>
      <family val="2"/>
    </font>
    <font>
      <sz val="9"/>
      <color indexed="81"/>
      <name val="Tahoma"/>
      <family val="2"/>
    </font>
    <font>
      <b/>
      <sz val="9"/>
      <color indexed="81"/>
      <name val="Tahoma"/>
      <family val="2"/>
    </font>
    <font>
      <sz val="9"/>
      <name val="Arial"/>
      <family val="2"/>
    </font>
    <font>
      <sz val="12"/>
      <name val="Comic Sans MS"/>
      <family val="4"/>
    </font>
    <font>
      <b/>
      <sz val="11"/>
      <color indexed="10"/>
      <name val="Comic Sans MS"/>
      <family val="4"/>
    </font>
    <font>
      <b/>
      <sz val="16"/>
      <name val="Arial"/>
      <family val="2"/>
    </font>
    <font>
      <i/>
      <u/>
      <sz val="12"/>
      <name val="Comic Sans MS"/>
      <family val="4"/>
    </font>
    <font>
      <b/>
      <u/>
      <sz val="10"/>
      <name val="Arial"/>
      <family val="2"/>
    </font>
    <font>
      <b/>
      <sz val="10"/>
      <name val="Comic Sans MS"/>
      <family val="4"/>
    </font>
    <font>
      <b/>
      <sz val="10"/>
      <color indexed="12"/>
      <name val="Arial"/>
      <family val="2"/>
    </font>
    <font>
      <u val="singleAccounting"/>
      <sz val="10"/>
      <name val="Arial"/>
      <family val="2"/>
    </font>
    <font>
      <b/>
      <sz val="11"/>
      <name val="Comic Sans MS"/>
      <family val="4"/>
    </font>
    <font>
      <b/>
      <u val="doubleAccounting"/>
      <sz val="10"/>
      <name val="Arial"/>
      <family val="2"/>
    </font>
    <font>
      <sz val="8"/>
      <color rgb="FF0070C0"/>
      <name val="Arial"/>
      <family val="2"/>
    </font>
    <font>
      <sz val="11"/>
      <color theme="1"/>
      <name val="Calibri"/>
      <family val="2"/>
      <scheme val="minor"/>
    </font>
    <font>
      <b/>
      <sz val="11"/>
      <color theme="1"/>
      <name val="Calibri"/>
      <family val="2"/>
      <scheme val="minor"/>
    </font>
    <font>
      <sz val="11"/>
      <color rgb="FF00B0F0"/>
      <name val="Calibri"/>
      <family val="2"/>
      <scheme val="minor"/>
    </font>
    <font>
      <sz val="10"/>
      <color rgb="FF00B0F0"/>
      <name val="Arial"/>
      <family val="2"/>
    </font>
    <font>
      <i/>
      <sz val="11"/>
      <color theme="1"/>
      <name val="Calibri"/>
      <family val="2"/>
      <scheme val="minor"/>
    </font>
    <font>
      <sz val="10"/>
      <color rgb="FF0000FF"/>
      <name val="Arial"/>
      <family val="2"/>
    </font>
    <font>
      <sz val="8"/>
      <color rgb="FFFF0000"/>
      <name val="Arial"/>
      <family val="2"/>
    </font>
  </fonts>
  <fills count="17">
    <fill>
      <patternFill patternType="none"/>
    </fill>
    <fill>
      <patternFill patternType="gray125"/>
    </fill>
    <fill>
      <patternFill patternType="solid">
        <fgColor indexed="43"/>
        <bgColor indexed="64"/>
      </patternFill>
    </fill>
    <fill>
      <patternFill patternType="solid">
        <fgColor indexed="43"/>
        <bgColor indexed="43"/>
      </patternFill>
    </fill>
    <fill>
      <patternFill patternType="solid">
        <fgColor rgb="FFFFFFCC"/>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indexed="1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rgb="FFFFFF99"/>
        <bgColor indexed="64"/>
      </patternFill>
    </fill>
  </fills>
  <borders count="26">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top/>
      <bottom style="medium">
        <color indexed="64"/>
      </bottom>
      <diagonal/>
    </border>
    <border>
      <left/>
      <right/>
      <top/>
      <bottom style="dotted">
        <color auto="1"/>
      </bottom>
      <diagonal/>
    </border>
    <border>
      <left/>
      <right/>
      <top style="thin">
        <color indexed="64"/>
      </top>
      <bottom style="medium">
        <color indexed="64"/>
      </bottom>
      <diagonal/>
    </border>
    <border>
      <left style="hair">
        <color indexed="64"/>
      </left>
      <right style="hair">
        <color indexed="64"/>
      </right>
      <top style="hair">
        <color indexed="64"/>
      </top>
      <bottom style="hair">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1" fillId="4" borderId="12"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30" fillId="0" borderId="0"/>
    <xf numFmtId="44" fontId="30" fillId="0" borderId="0" applyFont="0" applyFill="0" applyBorder="0" applyAlignment="0" applyProtection="0"/>
    <xf numFmtId="9" fontId="30" fillId="0" borderId="0" applyFont="0" applyFill="0" applyBorder="0" applyAlignment="0" applyProtection="0"/>
    <xf numFmtId="43" fontId="30" fillId="0" borderId="0" applyFont="0" applyFill="0" applyBorder="0" applyAlignment="0" applyProtection="0"/>
  </cellStyleXfs>
  <cellXfs count="395">
    <xf numFmtId="0" fontId="0" fillId="0" borderId="0" xfId="0"/>
    <xf numFmtId="0" fontId="3" fillId="0" borderId="0" xfId="3" applyFont="1"/>
    <xf numFmtId="0" fontId="4" fillId="0" borderId="0" xfId="3" applyFont="1"/>
    <xf numFmtId="0" fontId="4" fillId="0" borderId="0" xfId="3" applyFont="1" applyAlignment="1">
      <alignment horizontal="center"/>
    </xf>
    <xf numFmtId="0" fontId="5" fillId="0" borderId="0" xfId="3" applyFont="1" applyAlignment="1">
      <alignment horizontal="center"/>
    </xf>
    <xf numFmtId="0" fontId="2" fillId="0" borderId="0" xfId="3"/>
    <xf numFmtId="0" fontId="6" fillId="0" borderId="0" xfId="3" applyFont="1"/>
    <xf numFmtId="14" fontId="4" fillId="0" borderId="0" xfId="3" applyNumberFormat="1" applyFont="1" applyAlignment="1">
      <alignment horizontal="center"/>
    </xf>
    <xf numFmtId="0" fontId="7" fillId="0" borderId="0" xfId="3" applyFont="1"/>
    <xf numFmtId="0" fontId="8" fillId="0" borderId="0" xfId="3" applyFont="1"/>
    <xf numFmtId="0" fontId="8" fillId="0" borderId="0" xfId="3" applyFont="1" applyAlignment="1">
      <alignment horizontal="center"/>
    </xf>
    <xf numFmtId="0" fontId="6" fillId="0" borderId="0" xfId="3" applyFont="1" applyAlignment="1">
      <alignment horizontal="center"/>
    </xf>
    <xf numFmtId="166" fontId="6" fillId="0" borderId="0" xfId="3" applyNumberFormat="1" applyFont="1" applyAlignment="1">
      <alignment horizontal="center"/>
    </xf>
    <xf numFmtId="1" fontId="4" fillId="0" borderId="0" xfId="3" applyNumberFormat="1" applyFont="1"/>
    <xf numFmtId="41" fontId="4" fillId="0" borderId="0" xfId="3" applyNumberFormat="1" applyFont="1"/>
    <xf numFmtId="166" fontId="6" fillId="0" borderId="0" xfId="3" applyNumberFormat="1" applyFont="1"/>
    <xf numFmtId="166" fontId="4" fillId="0" borderId="0" xfId="3" applyNumberFormat="1" applyFont="1"/>
    <xf numFmtId="168" fontId="4" fillId="0" borderId="0" xfId="3" applyNumberFormat="1" applyFont="1" applyAlignment="1">
      <alignment horizontal="right"/>
    </xf>
    <xf numFmtId="41" fontId="9" fillId="0" borderId="0" xfId="3" applyNumberFormat="1" applyFont="1" applyAlignment="1">
      <alignment horizontal="center"/>
    </xf>
    <xf numFmtId="166" fontId="4" fillId="0" borderId="0" xfId="3" applyNumberFormat="1" applyFont="1" applyAlignment="1">
      <alignment horizontal="center"/>
    </xf>
    <xf numFmtId="166" fontId="4" fillId="0" borderId="0" xfId="3" applyNumberFormat="1" applyFont="1" applyFill="1" applyAlignment="1">
      <alignment horizontal="center"/>
    </xf>
    <xf numFmtId="41" fontId="9" fillId="0" borderId="0" xfId="3" applyNumberFormat="1" applyFont="1"/>
    <xf numFmtId="41" fontId="10" fillId="0" borderId="0" xfId="3" applyNumberFormat="1" applyFont="1" applyAlignment="1">
      <alignment horizontal="left"/>
    </xf>
    <xf numFmtId="41" fontId="4" fillId="0" borderId="1" xfId="3" applyNumberFormat="1" applyFont="1" applyBorder="1"/>
    <xf numFmtId="167" fontId="4" fillId="0" borderId="0" xfId="3" applyNumberFormat="1" applyFont="1"/>
    <xf numFmtId="166" fontId="2" fillId="0" borderId="0" xfId="3" applyNumberFormat="1"/>
    <xf numFmtId="168" fontId="4" fillId="0" borderId="0" xfId="3" applyNumberFormat="1" applyFont="1"/>
    <xf numFmtId="41" fontId="4" fillId="0" borderId="2" xfId="3" applyNumberFormat="1" applyFont="1" applyBorder="1"/>
    <xf numFmtId="41" fontId="6" fillId="0" borderId="3" xfId="3" applyNumberFormat="1" applyFont="1" applyBorder="1"/>
    <xf numFmtId="41" fontId="4" fillId="0" borderId="3" xfId="3" applyNumberFormat="1" applyFont="1" applyBorder="1"/>
    <xf numFmtId="41" fontId="7" fillId="0" borderId="0" xfId="3" applyNumberFormat="1" applyFont="1"/>
    <xf numFmtId="41" fontId="4" fillId="0" borderId="0" xfId="3" applyNumberFormat="1" applyFont="1" applyAlignment="1">
      <alignment horizontal="right"/>
    </xf>
    <xf numFmtId="1" fontId="7" fillId="0" borderId="0" xfId="3" applyNumberFormat="1" applyFont="1"/>
    <xf numFmtId="167" fontId="9" fillId="0" borderId="0" xfId="3" applyNumberFormat="1" applyFont="1"/>
    <xf numFmtId="41" fontId="4" fillId="0" borderId="0" xfId="3" applyNumberFormat="1" applyFont="1" applyBorder="1"/>
    <xf numFmtId="41" fontId="4" fillId="0" borderId="4" xfId="3" applyNumberFormat="1" applyFont="1" applyBorder="1"/>
    <xf numFmtId="41" fontId="4" fillId="0" borderId="5" xfId="3" applyNumberFormat="1" applyFont="1" applyBorder="1"/>
    <xf numFmtId="41" fontId="4" fillId="0" borderId="6" xfId="3" applyNumberFormat="1" applyFont="1" applyBorder="1"/>
    <xf numFmtId="167" fontId="4" fillId="0" borderId="2" xfId="3" applyNumberFormat="1" applyFont="1" applyBorder="1"/>
    <xf numFmtId="166" fontId="4" fillId="0" borderId="0" xfId="3" applyNumberFormat="1" applyFont="1" applyFill="1" applyBorder="1"/>
    <xf numFmtId="168" fontId="4" fillId="0" borderId="0" xfId="3" applyNumberFormat="1" applyFont="1" applyFill="1" applyBorder="1" applyAlignment="1">
      <alignment horizontal="right"/>
    </xf>
    <xf numFmtId="41" fontId="10" fillId="0" borderId="0" xfId="3" applyNumberFormat="1" applyFont="1" applyFill="1" applyBorder="1" applyAlignment="1">
      <alignment horizontal="left"/>
    </xf>
    <xf numFmtId="41" fontId="4" fillId="0" borderId="0" xfId="3" applyNumberFormat="1" applyFont="1" applyFill="1" applyBorder="1"/>
    <xf numFmtId="41" fontId="9" fillId="0" borderId="0" xfId="3" applyNumberFormat="1" applyFont="1" applyFill="1" applyBorder="1"/>
    <xf numFmtId="1" fontId="4" fillId="0" borderId="0" xfId="3" applyNumberFormat="1" applyFont="1" applyFill="1" applyBorder="1"/>
    <xf numFmtId="0" fontId="2" fillId="0" borderId="0" xfId="3" applyFill="1" applyBorder="1"/>
    <xf numFmtId="166" fontId="2" fillId="0" borderId="0" xfId="3" applyNumberFormat="1" applyFill="1" applyBorder="1"/>
    <xf numFmtId="168" fontId="4" fillId="0" borderId="0" xfId="3" applyNumberFormat="1" applyFont="1" applyFill="1" applyBorder="1"/>
    <xf numFmtId="167" fontId="4" fillId="0" borderId="0" xfId="3" applyNumberFormat="1" applyFont="1" applyFill="1" applyBorder="1"/>
    <xf numFmtId="166" fontId="4" fillId="0" borderId="4" xfId="3" applyNumberFormat="1" applyFont="1" applyBorder="1"/>
    <xf numFmtId="166" fontId="4" fillId="0" borderId="6" xfId="3" applyNumberFormat="1" applyFont="1" applyBorder="1"/>
    <xf numFmtId="2" fontId="2" fillId="0" borderId="0" xfId="3" applyNumberFormat="1"/>
    <xf numFmtId="0" fontId="3" fillId="0" borderId="0" xfId="0" applyFont="1" applyBorder="1"/>
    <xf numFmtId="0" fontId="0" fillId="0" borderId="0" xfId="0" applyBorder="1"/>
    <xf numFmtId="0" fontId="3" fillId="0" borderId="0" xfId="0" applyFont="1" applyFill="1" applyBorder="1"/>
    <xf numFmtId="17" fontId="0" fillId="0" borderId="0" xfId="0" applyNumberFormat="1" applyBorder="1"/>
    <xf numFmtId="17" fontId="3" fillId="0" borderId="0" xfId="0" applyNumberFormat="1" applyFont="1" applyAlignment="1">
      <alignment horizontal="center"/>
    </xf>
    <xf numFmtId="169" fontId="0" fillId="0" borderId="0" xfId="0" applyNumberFormat="1" applyBorder="1"/>
    <xf numFmtId="169" fontId="0" fillId="0" borderId="0" xfId="0" applyNumberFormat="1"/>
    <xf numFmtId="17" fontId="4" fillId="0" borderId="0" xfId="0" applyNumberFormat="1" applyFont="1"/>
    <xf numFmtId="0" fontId="4" fillId="0" borderId="0" xfId="0" applyFont="1"/>
    <xf numFmtId="2" fontId="4" fillId="0" borderId="0" xfId="0" applyNumberFormat="1" applyFont="1"/>
    <xf numFmtId="2" fontId="0" fillId="0" borderId="0" xfId="0" applyNumberFormat="1"/>
    <xf numFmtId="0" fontId="4" fillId="0" borderId="0" xfId="0" applyFont="1" applyAlignment="1">
      <alignment horizontal="center"/>
    </xf>
    <xf numFmtId="17" fontId="0" fillId="0" borderId="0" xfId="0" applyNumberFormat="1"/>
    <xf numFmtId="4" fontId="4" fillId="0" borderId="0" xfId="0" applyNumberFormat="1" applyFont="1"/>
    <xf numFmtId="4" fontId="0" fillId="0" borderId="0" xfId="0" applyNumberFormat="1"/>
    <xf numFmtId="4" fontId="3" fillId="0" borderId="0" xfId="0" applyNumberFormat="1" applyFont="1" applyAlignment="1">
      <alignment horizontal="center"/>
    </xf>
    <xf numFmtId="9" fontId="1" fillId="0" borderId="0" xfId="5"/>
    <xf numFmtId="40" fontId="4" fillId="0" borderId="0" xfId="0" applyNumberFormat="1" applyFont="1"/>
    <xf numFmtId="43" fontId="4" fillId="0" borderId="0" xfId="1" applyFont="1"/>
    <xf numFmtId="44" fontId="4" fillId="0" borderId="2" xfId="2" applyNumberFormat="1" applyFont="1" applyBorder="1"/>
    <xf numFmtId="44" fontId="4" fillId="0" borderId="1" xfId="2" applyNumberFormat="1" applyFont="1" applyBorder="1"/>
    <xf numFmtId="44" fontId="4" fillId="0" borderId="0" xfId="2" applyFont="1"/>
    <xf numFmtId="41" fontId="4" fillId="0" borderId="0" xfId="3" applyNumberFormat="1" applyFont="1" applyAlignment="1">
      <alignment horizontal="left" indent="1"/>
    </xf>
    <xf numFmtId="4" fontId="4" fillId="0" borderId="1" xfId="0" applyNumberFormat="1" applyFont="1" applyBorder="1"/>
    <xf numFmtId="40" fontId="4" fillId="0" borderId="1" xfId="0" applyNumberFormat="1" applyFont="1" applyBorder="1"/>
    <xf numFmtId="43" fontId="4" fillId="0" borderId="1" xfId="1" applyFont="1" applyBorder="1"/>
    <xf numFmtId="0" fontId="11" fillId="0" borderId="0" xfId="0" applyFont="1"/>
    <xf numFmtId="0" fontId="4" fillId="0" borderId="0" xfId="0" applyFont="1" applyFill="1" applyBorder="1" applyAlignment="1">
      <alignment horizontal="center"/>
    </xf>
    <xf numFmtId="0" fontId="11" fillId="0" borderId="0" xfId="0" applyFont="1" applyAlignment="1">
      <alignment horizontal="center"/>
    </xf>
    <xf numFmtId="0" fontId="11" fillId="0" borderId="0" xfId="0" applyFont="1" applyAlignment="1">
      <alignment horizontal="centerContinuous"/>
    </xf>
    <xf numFmtId="17" fontId="4" fillId="2" borderId="0" xfId="0" applyNumberFormat="1" applyFont="1" applyFill="1" applyBorder="1" applyAlignment="1">
      <alignment horizontal="center"/>
    </xf>
    <xf numFmtId="17" fontId="4" fillId="0" borderId="0" xfId="0" applyNumberFormat="1" applyFont="1" applyFill="1" applyBorder="1" applyAlignment="1">
      <alignment horizontal="center"/>
    </xf>
    <xf numFmtId="2" fontId="11" fillId="0" borderId="0" xfId="0" applyNumberFormat="1" applyFont="1"/>
    <xf numFmtId="2" fontId="11" fillId="2" borderId="0" xfId="0" applyNumberFormat="1" applyFont="1" applyFill="1" applyBorder="1"/>
    <xf numFmtId="9" fontId="4" fillId="0" borderId="0" xfId="5" applyFont="1" applyFill="1"/>
    <xf numFmtId="43" fontId="4" fillId="0" borderId="5" xfId="1" applyFont="1" applyBorder="1"/>
    <xf numFmtId="43" fontId="4" fillId="0" borderId="0" xfId="0" applyNumberFormat="1" applyFont="1"/>
    <xf numFmtId="0" fontId="4" fillId="0" borderId="0" xfId="0" applyFont="1" applyFill="1"/>
    <xf numFmtId="10" fontId="4" fillId="2" borderId="0" xfId="0" applyNumberFormat="1" applyFont="1" applyFill="1"/>
    <xf numFmtId="10" fontId="4" fillId="2" borderId="0" xfId="5" applyNumberFormat="1" applyFont="1" applyFill="1"/>
    <xf numFmtId="10" fontId="4" fillId="0" borderId="0" xfId="5" applyNumberFormat="1" applyFont="1"/>
    <xf numFmtId="10" fontId="11" fillId="3" borderId="0" xfId="5" applyNumberFormat="1" applyFont="1" applyFill="1"/>
    <xf numFmtId="9" fontId="4" fillId="0" borderId="0" xfId="5" applyFont="1"/>
    <xf numFmtId="43" fontId="4" fillId="0" borderId="0" xfId="1" applyNumberFormat="1" applyFont="1"/>
    <xf numFmtId="0" fontId="11" fillId="0" borderId="0" xfId="0" quotePrefix="1" applyFont="1" applyAlignment="1">
      <alignment horizontal="left"/>
    </xf>
    <xf numFmtId="44" fontId="4" fillId="2" borderId="7" xfId="2" applyFont="1" applyFill="1" applyBorder="1"/>
    <xf numFmtId="44" fontId="4" fillId="0" borderId="5" xfId="2" applyFont="1" applyBorder="1"/>
    <xf numFmtId="44" fontId="11" fillId="0" borderId="0" xfId="2" applyFont="1" applyBorder="1"/>
    <xf numFmtId="43" fontId="11" fillId="0" borderId="0" xfId="1" applyFont="1" applyBorder="1"/>
    <xf numFmtId="43" fontId="11" fillId="0" borderId="4" xfId="1" applyFont="1" applyBorder="1"/>
    <xf numFmtId="44" fontId="4" fillId="0" borderId="0" xfId="0" applyNumberFormat="1" applyFont="1"/>
    <xf numFmtId="44" fontId="4" fillId="0" borderId="0" xfId="2" applyFont="1" applyBorder="1"/>
    <xf numFmtId="44" fontId="11" fillId="0" borderId="0" xfId="0" applyNumberFormat="1" applyFont="1" applyBorder="1"/>
    <xf numFmtId="0" fontId="4" fillId="0" borderId="0" xfId="0" applyFont="1" applyBorder="1"/>
    <xf numFmtId="44" fontId="4" fillId="0" borderId="0" xfId="2" applyNumberFormat="1" applyFont="1" applyBorder="1"/>
    <xf numFmtId="0" fontId="0" fillId="0" borderId="0" xfId="0" applyNumberFormat="1"/>
    <xf numFmtId="0" fontId="3" fillId="0" borderId="0" xfId="0" applyNumberFormat="1" applyFont="1" applyAlignment="1">
      <alignment horizontal="center"/>
    </xf>
    <xf numFmtId="166" fontId="4" fillId="0" borderId="0" xfId="3" applyNumberFormat="1" applyFont="1" applyAlignment="1">
      <alignment horizontal="right"/>
    </xf>
    <xf numFmtId="166" fontId="4" fillId="0" borderId="1" xfId="3" applyNumberFormat="1" applyFont="1" applyBorder="1"/>
    <xf numFmtId="170" fontId="4" fillId="0" borderId="2" xfId="2" applyNumberFormat="1" applyFont="1" applyBorder="1"/>
    <xf numFmtId="165" fontId="1" fillId="0" borderId="0" xfId="5" applyNumberFormat="1"/>
    <xf numFmtId="165" fontId="3" fillId="0" borderId="0" xfId="5" applyNumberFormat="1" applyFont="1"/>
    <xf numFmtId="0" fontId="14" fillId="0" borderId="8" xfId="3" applyFont="1" applyBorder="1" applyAlignment="1">
      <alignment horizontal="center"/>
    </xf>
    <xf numFmtId="0" fontId="4" fillId="0" borderId="0" xfId="3" applyFont="1" applyBorder="1"/>
    <xf numFmtId="166" fontId="14" fillId="0" borderId="9" xfId="3" applyNumberFormat="1" applyFont="1" applyBorder="1" applyAlignment="1">
      <alignment horizontal="center"/>
    </xf>
    <xf numFmtId="166" fontId="4" fillId="0" borderId="0" xfId="3" applyNumberFormat="1" applyFont="1" applyBorder="1"/>
    <xf numFmtId="166" fontId="15" fillId="0" borderId="9" xfId="3" applyNumberFormat="1" applyFont="1" applyFill="1" applyBorder="1" applyAlignment="1">
      <alignment horizontal="center"/>
    </xf>
    <xf numFmtId="41" fontId="10" fillId="0" borderId="9" xfId="3" applyNumberFormat="1" applyFont="1" applyBorder="1"/>
    <xf numFmtId="166" fontId="6" fillId="0" borderId="0" xfId="3" applyNumberFormat="1" applyFont="1" applyBorder="1"/>
    <xf numFmtId="0" fontId="2" fillId="0" borderId="0" xfId="3" applyBorder="1"/>
    <xf numFmtId="167" fontId="6" fillId="0" borderId="9" xfId="3" applyNumberFormat="1" applyFont="1" applyBorder="1"/>
    <xf numFmtId="41" fontId="4" fillId="0" borderId="10" xfId="3" applyNumberFormat="1" applyFont="1" applyBorder="1"/>
    <xf numFmtId="165" fontId="4" fillId="0" borderId="0" xfId="5" applyNumberFormat="1" applyFont="1"/>
    <xf numFmtId="166" fontId="4" fillId="5" borderId="0" xfId="3" applyNumberFormat="1" applyFont="1" applyFill="1"/>
    <xf numFmtId="9" fontId="4" fillId="5" borderId="7" xfId="5" applyFont="1" applyFill="1" applyBorder="1"/>
    <xf numFmtId="166" fontId="4" fillId="5" borderId="6" xfId="3" applyNumberFormat="1" applyFont="1" applyFill="1" applyBorder="1"/>
    <xf numFmtId="167" fontId="4" fillId="6" borderId="2" xfId="3" applyNumberFormat="1" applyFont="1" applyFill="1" applyBorder="1"/>
    <xf numFmtId="4" fontId="4" fillId="4" borderId="12" xfId="4" applyNumberFormat="1" applyFont="1"/>
    <xf numFmtId="10" fontId="4" fillId="0" borderId="0" xfId="0" applyNumberFormat="1" applyFont="1" applyFill="1"/>
    <xf numFmtId="17" fontId="4" fillId="0" borderId="0" xfId="0" applyNumberFormat="1" applyFont="1" applyAlignment="1">
      <alignment horizontal="center"/>
    </xf>
    <xf numFmtId="44" fontId="4" fillId="7" borderId="7" xfId="2" applyFont="1" applyFill="1" applyBorder="1"/>
    <xf numFmtId="44" fontId="4" fillId="0" borderId="7" xfId="2" applyFont="1" applyBorder="1"/>
    <xf numFmtId="0" fontId="6" fillId="0" borderId="0" xfId="0" applyFont="1"/>
    <xf numFmtId="44" fontId="4" fillId="7" borderId="11" xfId="2" applyFont="1" applyFill="1" applyBorder="1"/>
    <xf numFmtId="44" fontId="4" fillId="0" borderId="11" xfId="2" applyFont="1" applyBorder="1"/>
    <xf numFmtId="7" fontId="1" fillId="0" borderId="0" xfId="0" applyNumberFormat="1" applyFont="1" applyFill="1" applyBorder="1" applyAlignment="1">
      <alignment horizontal="center"/>
    </xf>
    <xf numFmtId="44" fontId="18" fillId="0" borderId="0" xfId="0" applyNumberFormat="1" applyFont="1" applyFill="1" applyBorder="1"/>
    <xf numFmtId="4" fontId="4" fillId="0" borderId="0" xfId="4" applyNumberFormat="1" applyFont="1" applyFill="1" applyBorder="1"/>
    <xf numFmtId="0" fontId="3" fillId="0" borderId="0" xfId="0" applyFont="1"/>
    <xf numFmtId="44" fontId="4" fillId="2" borderId="7" xfId="2" applyFont="1" applyFill="1" applyBorder="1" applyAlignment="1">
      <alignment horizontal="center"/>
    </xf>
    <xf numFmtId="7" fontId="1" fillId="0" borderId="0" xfId="2" applyNumberFormat="1" applyBorder="1"/>
    <xf numFmtId="0" fontId="4" fillId="0" borderId="0" xfId="0" applyFont="1" applyFill="1" applyAlignment="1">
      <alignment horizontal="center"/>
    </xf>
    <xf numFmtId="44" fontId="4" fillId="0" borderId="0" xfId="0" applyNumberFormat="1" applyFont="1" applyFill="1"/>
    <xf numFmtId="164" fontId="4" fillId="0" borderId="0" xfId="1" applyNumberFormat="1" applyFont="1" applyFill="1"/>
    <xf numFmtId="0" fontId="10" fillId="0" borderId="0" xfId="0" applyFont="1" applyFill="1"/>
    <xf numFmtId="171" fontId="4" fillId="0" borderId="0" xfId="2" applyNumberFormat="1" applyFont="1" applyFill="1"/>
    <xf numFmtId="43" fontId="10" fillId="0" borderId="0" xfId="1" applyNumberFormat="1" applyFont="1" applyFill="1"/>
    <xf numFmtId="168" fontId="4" fillId="2" borderId="0" xfId="3" applyNumberFormat="1" applyFont="1" applyFill="1" applyAlignment="1">
      <alignment horizontal="right"/>
    </xf>
    <xf numFmtId="44" fontId="9" fillId="0" borderId="0" xfId="2" applyFont="1" applyAlignment="1">
      <alignment horizontal="center"/>
    </xf>
    <xf numFmtId="44" fontId="4" fillId="0" borderId="1" xfId="2" applyFont="1" applyBorder="1"/>
    <xf numFmtId="44" fontId="2" fillId="0" borderId="0" xfId="2" applyFont="1"/>
    <xf numFmtId="44" fontId="4" fillId="0" borderId="2" xfId="2" applyFont="1" applyBorder="1"/>
    <xf numFmtId="167" fontId="4" fillId="5" borderId="6" xfId="3" applyNumberFormat="1" applyFont="1" applyFill="1" applyBorder="1"/>
    <xf numFmtId="166" fontId="4" fillId="0" borderId="2" xfId="3" applyNumberFormat="1" applyFont="1" applyBorder="1"/>
    <xf numFmtId="0" fontId="8" fillId="0" borderId="0" xfId="3" applyFont="1" applyBorder="1"/>
    <xf numFmtId="0" fontId="8" fillId="0" borderId="0" xfId="3" applyFont="1" applyBorder="1" applyAlignment="1">
      <alignment horizontal="center"/>
    </xf>
    <xf numFmtId="0" fontId="6" fillId="0" borderId="0" xfId="3" applyFont="1" applyBorder="1" applyAlignment="1">
      <alignment horizontal="center"/>
    </xf>
    <xf numFmtId="166" fontId="6" fillId="0" borderId="0" xfId="3" applyNumberFormat="1" applyFont="1" applyBorder="1" applyAlignment="1">
      <alignment horizontal="center"/>
    </xf>
    <xf numFmtId="166" fontId="4" fillId="0" borderId="0" xfId="3" applyNumberFormat="1" applyFont="1" applyAlignment="1">
      <alignment horizontal="centerContinuous"/>
    </xf>
    <xf numFmtId="171" fontId="4" fillId="0" borderId="0" xfId="2" applyNumberFormat="1" applyFont="1"/>
    <xf numFmtId="168" fontId="4" fillId="0" borderId="0" xfId="3" applyNumberFormat="1" applyFont="1" applyBorder="1" applyAlignment="1">
      <alignment horizontal="right"/>
    </xf>
    <xf numFmtId="41" fontId="9" fillId="0" borderId="0" xfId="3" applyNumberFormat="1" applyFont="1" applyBorder="1"/>
    <xf numFmtId="166" fontId="4" fillId="6" borderId="0" xfId="3" applyNumberFormat="1" applyFont="1" applyFill="1"/>
    <xf numFmtId="41" fontId="10" fillId="0" borderId="0" xfId="3" applyNumberFormat="1" applyFont="1" applyBorder="1" applyAlignment="1">
      <alignment horizontal="left"/>
    </xf>
    <xf numFmtId="166" fontId="2" fillId="0" borderId="0" xfId="3" applyNumberFormat="1" applyBorder="1"/>
    <xf numFmtId="168" fontId="4" fillId="0" borderId="0" xfId="3" applyNumberFormat="1" applyFont="1" applyBorder="1"/>
    <xf numFmtId="167" fontId="4" fillId="0" borderId="0" xfId="3" applyNumberFormat="1" applyFont="1" applyBorder="1"/>
    <xf numFmtId="4" fontId="6" fillId="0" borderId="0" xfId="0" applyNumberFormat="1" applyFont="1"/>
    <xf numFmtId="4" fontId="6" fillId="0" borderId="1" xfId="0" applyNumberFormat="1" applyFont="1" applyBorder="1"/>
    <xf numFmtId="2" fontId="6" fillId="0" borderId="0" xfId="0" applyNumberFormat="1" applyFont="1"/>
    <xf numFmtId="0" fontId="6" fillId="0" borderId="0" xfId="0" applyFont="1" applyAlignment="1">
      <alignment horizontal="center"/>
    </xf>
    <xf numFmtId="0" fontId="6" fillId="0" borderId="0" xfId="0" applyFont="1" applyAlignment="1">
      <alignment horizontal="centerContinuous"/>
    </xf>
    <xf numFmtId="2" fontId="6" fillId="2" borderId="0" xfId="0" applyNumberFormat="1" applyFont="1" applyFill="1" applyBorder="1"/>
    <xf numFmtId="10" fontId="6" fillId="3" borderId="0" xfId="5" applyNumberFormat="1" applyFont="1" applyFill="1"/>
    <xf numFmtId="0" fontId="6" fillId="0" borderId="0" xfId="0" quotePrefix="1" applyFont="1" applyAlignment="1">
      <alignment horizontal="left"/>
    </xf>
    <xf numFmtId="44" fontId="6" fillId="0" borderId="0" xfId="2" applyFont="1" applyBorder="1"/>
    <xf numFmtId="43" fontId="6" fillId="0" borderId="0" xfId="1" applyFont="1" applyBorder="1"/>
    <xf numFmtId="43" fontId="6" fillId="0" borderId="4" xfId="1" applyFont="1" applyBorder="1"/>
    <xf numFmtId="43" fontId="6" fillId="0" borderId="0" xfId="1" applyFont="1"/>
    <xf numFmtId="44" fontId="6" fillId="0" borderId="0" xfId="0" applyNumberFormat="1" applyFont="1" applyBorder="1"/>
    <xf numFmtId="0" fontId="19" fillId="7" borderId="13" xfId="6" applyFont="1" applyFill="1" applyBorder="1"/>
    <xf numFmtId="0" fontId="19" fillId="7" borderId="14" xfId="6" applyFont="1" applyFill="1" applyBorder="1"/>
    <xf numFmtId="0" fontId="1" fillId="7" borderId="14" xfId="6" applyFill="1" applyBorder="1"/>
    <xf numFmtId="0" fontId="1" fillId="7" borderId="15" xfId="6" applyFill="1" applyBorder="1"/>
    <xf numFmtId="0" fontId="1" fillId="0" borderId="0" xfId="6"/>
    <xf numFmtId="0" fontId="3" fillId="7" borderId="16" xfId="6" applyFont="1" applyFill="1" applyBorder="1"/>
    <xf numFmtId="0" fontId="3" fillId="7" borderId="0" xfId="6" applyFont="1" applyFill="1" applyBorder="1"/>
    <xf numFmtId="0" fontId="20" fillId="7" borderId="0" xfId="6" applyFont="1" applyFill="1" applyBorder="1"/>
    <xf numFmtId="0" fontId="1" fillId="7" borderId="0" xfId="6" applyFill="1" applyBorder="1"/>
    <xf numFmtId="0" fontId="1" fillId="7" borderId="17" xfId="6" applyFill="1" applyBorder="1"/>
    <xf numFmtId="15" fontId="3" fillId="7" borderId="16" xfId="6" applyNumberFormat="1" applyFont="1" applyFill="1" applyBorder="1"/>
    <xf numFmtId="15" fontId="3" fillId="7" borderId="0" xfId="6" applyNumberFormat="1" applyFont="1" applyFill="1" applyBorder="1"/>
    <xf numFmtId="0" fontId="1" fillId="7" borderId="16" xfId="6" applyFill="1" applyBorder="1"/>
    <xf numFmtId="0" fontId="3" fillId="7" borderId="0" xfId="6" applyFont="1" applyFill="1" applyBorder="1" applyAlignment="1">
      <alignment horizontal="center"/>
    </xf>
    <xf numFmtId="0" fontId="23" fillId="7" borderId="0" xfId="6" applyFont="1" applyFill="1" applyBorder="1" applyAlignment="1">
      <alignment horizontal="center"/>
    </xf>
    <xf numFmtId="0" fontId="24" fillId="7" borderId="18" xfId="6" applyFont="1" applyFill="1" applyBorder="1"/>
    <xf numFmtId="0" fontId="24" fillId="7" borderId="0" xfId="6" applyFont="1" applyFill="1" applyBorder="1"/>
    <xf numFmtId="0" fontId="1" fillId="7" borderId="0" xfId="6" applyFill="1" applyBorder="1" applyAlignment="1">
      <alignment horizontal="center"/>
    </xf>
    <xf numFmtId="0" fontId="0" fillId="7" borderId="16" xfId="6" applyFont="1" applyFill="1" applyBorder="1"/>
    <xf numFmtId="41" fontId="1" fillId="7" borderId="0" xfId="6" applyNumberFormat="1" applyFill="1" applyBorder="1"/>
    <xf numFmtId="44" fontId="25" fillId="7" borderId="0" xfId="7" applyFont="1" applyFill="1" applyBorder="1"/>
    <xf numFmtId="0" fontId="1" fillId="7" borderId="16" xfId="6" applyFont="1" applyFill="1" applyBorder="1"/>
    <xf numFmtId="0" fontId="18" fillId="7" borderId="0" xfId="6" applyFont="1" applyFill="1" applyBorder="1"/>
    <xf numFmtId="41" fontId="26" fillId="7" borderId="0" xfId="6" applyNumberFormat="1" applyFont="1" applyFill="1" applyBorder="1"/>
    <xf numFmtId="44" fontId="1" fillId="7" borderId="17" xfId="7" applyFont="1" applyFill="1" applyBorder="1"/>
    <xf numFmtId="171" fontId="1" fillId="7" borderId="0" xfId="7" applyNumberFormat="1" applyFont="1" applyFill="1" applyBorder="1"/>
    <xf numFmtId="164" fontId="1" fillId="7" borderId="0" xfId="8" applyNumberFormat="1" applyFont="1" applyFill="1" applyBorder="1"/>
    <xf numFmtId="164" fontId="1" fillId="7" borderId="0" xfId="6" applyNumberFormat="1" applyFill="1" applyBorder="1"/>
    <xf numFmtId="44" fontId="26" fillId="7" borderId="17" xfId="7" applyNumberFormat="1" applyFont="1" applyFill="1" applyBorder="1"/>
    <xf numFmtId="44" fontId="26" fillId="7" borderId="17" xfId="7" applyFont="1" applyFill="1" applyBorder="1"/>
    <xf numFmtId="44" fontId="27" fillId="7" borderId="19" xfId="7" applyNumberFormat="1" applyFont="1" applyFill="1" applyBorder="1"/>
    <xf numFmtId="44" fontId="27" fillId="7" borderId="19" xfId="7" applyFont="1" applyFill="1" applyBorder="1"/>
    <xf numFmtId="164" fontId="1" fillId="7" borderId="0" xfId="1" applyNumberFormat="1" applyFill="1" applyBorder="1"/>
    <xf numFmtId="44" fontId="27" fillId="7" borderId="20" xfId="7" applyNumberFormat="1" applyFont="1" applyFill="1" applyBorder="1"/>
    <xf numFmtId="44" fontId="3" fillId="7" borderId="17" xfId="7" applyFont="1" applyFill="1" applyBorder="1"/>
    <xf numFmtId="43" fontId="1" fillId="7" borderId="0" xfId="1" applyFill="1" applyBorder="1"/>
    <xf numFmtId="44" fontId="27" fillId="7" borderId="17" xfId="7" applyNumberFormat="1" applyFont="1" applyFill="1" applyBorder="1"/>
    <xf numFmtId="0" fontId="1" fillId="7" borderId="0" xfId="6" applyFont="1" applyFill="1" applyBorder="1" applyAlignment="1">
      <alignment horizontal="right"/>
    </xf>
    <xf numFmtId="0" fontId="3" fillId="7" borderId="17" xfId="6" applyFont="1" applyFill="1" applyBorder="1"/>
    <xf numFmtId="44" fontId="1" fillId="7" borderId="0" xfId="6" applyNumberFormat="1" applyFill="1" applyBorder="1"/>
    <xf numFmtId="44" fontId="3" fillId="7" borderId="21" xfId="6" applyNumberFormat="1" applyFont="1" applyFill="1" applyBorder="1"/>
    <xf numFmtId="0" fontId="1" fillId="7" borderId="0" xfId="6" applyFont="1" applyFill="1" applyBorder="1"/>
    <xf numFmtId="44" fontId="1" fillId="7" borderId="17" xfId="6" applyNumberFormat="1" applyFill="1" applyBorder="1"/>
    <xf numFmtId="0" fontId="3" fillId="7" borderId="5" xfId="6" applyFont="1" applyFill="1" applyBorder="1" applyAlignment="1">
      <alignment horizontal="center"/>
    </xf>
    <xf numFmtId="43" fontId="1" fillId="7" borderId="0" xfId="6" applyNumberFormat="1" applyFill="1" applyBorder="1"/>
    <xf numFmtId="44" fontId="1" fillId="7" borderId="17" xfId="7" applyNumberFormat="1" applyFont="1" applyFill="1" applyBorder="1"/>
    <xf numFmtId="43" fontId="26" fillId="7" borderId="17" xfId="6" applyNumberFormat="1" applyFont="1" applyFill="1" applyBorder="1"/>
    <xf numFmtId="44" fontId="27" fillId="7" borderId="17" xfId="7" applyFont="1" applyFill="1" applyBorder="1"/>
    <xf numFmtId="44" fontId="28" fillId="7" borderId="17" xfId="6" applyNumberFormat="1" applyFont="1" applyFill="1" applyBorder="1"/>
    <xf numFmtId="0" fontId="0" fillId="7" borderId="18" xfId="6" applyFont="1" applyFill="1" applyBorder="1"/>
    <xf numFmtId="0" fontId="1" fillId="7" borderId="5" xfId="6" applyFill="1" applyBorder="1"/>
    <xf numFmtId="44" fontId="27" fillId="7" borderId="21" xfId="7" applyNumberFormat="1" applyFont="1" applyFill="1" applyBorder="1"/>
    <xf numFmtId="0" fontId="1" fillId="7" borderId="22" xfId="6" applyFill="1" applyBorder="1"/>
    <xf numFmtId="44" fontId="27" fillId="7" borderId="21" xfId="7" applyFont="1" applyFill="1" applyBorder="1"/>
    <xf numFmtId="0" fontId="1" fillId="7" borderId="5" xfId="6" applyFont="1" applyFill="1" applyBorder="1" applyAlignment="1">
      <alignment horizontal="right"/>
    </xf>
    <xf numFmtId="44" fontId="29" fillId="0" borderId="0" xfId="0" applyNumberFormat="1" applyFont="1"/>
    <xf numFmtId="0" fontId="30" fillId="0" borderId="0" xfId="9"/>
    <xf numFmtId="44" fontId="0" fillId="0" borderId="0" xfId="10" applyFont="1"/>
    <xf numFmtId="0" fontId="31" fillId="0" borderId="22" xfId="9" applyFont="1" applyBorder="1" applyAlignment="1">
      <alignment horizontal="center"/>
    </xf>
    <xf numFmtId="0" fontId="30" fillId="0" borderId="0" xfId="9" applyAlignment="1">
      <alignment horizontal="center"/>
    </xf>
    <xf numFmtId="10" fontId="0" fillId="0" borderId="0" xfId="11" applyNumberFormat="1" applyFont="1"/>
    <xf numFmtId="172" fontId="0" fillId="0" borderId="0" xfId="11" applyNumberFormat="1" applyFont="1"/>
    <xf numFmtId="10" fontId="30" fillId="0" borderId="0" xfId="9" applyNumberFormat="1"/>
    <xf numFmtId="10" fontId="32" fillId="0" borderId="0" xfId="9" applyNumberFormat="1" applyFont="1"/>
    <xf numFmtId="172" fontId="33" fillId="0" borderId="0" xfId="11" applyNumberFormat="1" applyFont="1"/>
    <xf numFmtId="10" fontId="33" fillId="0" borderId="0" xfId="11" applyNumberFormat="1" applyFont="1"/>
    <xf numFmtId="10" fontId="32" fillId="0" borderId="0" xfId="5" applyNumberFormat="1" applyFont="1"/>
    <xf numFmtId="0" fontId="34" fillId="0" borderId="0" xfId="9" applyFont="1" applyAlignment="1">
      <alignment horizontal="right"/>
    </xf>
    <xf numFmtId="0" fontId="30" fillId="0" borderId="23" xfId="9" applyBorder="1"/>
    <xf numFmtId="172" fontId="34" fillId="0" borderId="0" xfId="9" applyNumberFormat="1" applyFont="1"/>
    <xf numFmtId="0" fontId="34" fillId="0" borderId="0" xfId="9" applyFont="1" applyAlignment="1">
      <alignment horizontal="center"/>
    </xf>
    <xf numFmtId="9" fontId="30" fillId="0" borderId="0" xfId="9" applyNumberFormat="1"/>
    <xf numFmtId="172" fontId="30" fillId="0" borderId="0" xfId="9" applyNumberFormat="1"/>
    <xf numFmtId="0" fontId="34" fillId="0" borderId="23" xfId="9" applyFont="1" applyBorder="1"/>
    <xf numFmtId="0" fontId="31" fillId="0" borderId="22" xfId="9" applyFont="1" applyFill="1" applyBorder="1" applyAlignment="1">
      <alignment horizontal="center"/>
    </xf>
    <xf numFmtId="44" fontId="0" fillId="0" borderId="0" xfId="10" applyFont="1" applyFill="1"/>
    <xf numFmtId="44" fontId="1" fillId="7" borderId="0" xfId="7" applyNumberFormat="1" applyFont="1" applyFill="1" applyBorder="1"/>
    <xf numFmtId="44" fontId="1" fillId="7" borderId="0" xfId="7" applyFont="1" applyFill="1" applyBorder="1"/>
    <xf numFmtId="166" fontId="4" fillId="6" borderId="0" xfId="3" applyNumberFormat="1" applyFont="1" applyFill="1" applyAlignment="1">
      <alignment horizontal="center"/>
    </xf>
    <xf numFmtId="164" fontId="3" fillId="0" borderId="0" xfId="12" applyNumberFormat="1" applyFont="1" applyAlignment="1">
      <alignment horizontal="center" wrapText="1"/>
    </xf>
    <xf numFmtId="43" fontId="3" fillId="0" borderId="0" xfId="12" applyFont="1" applyAlignment="1">
      <alignment horizontal="center"/>
    </xf>
    <xf numFmtId="0" fontId="30" fillId="0" borderId="0" xfId="9" applyAlignment="1">
      <alignment horizontal="center" wrapText="1"/>
    </xf>
    <xf numFmtId="173" fontId="30" fillId="8" borderId="0" xfId="9" applyNumberFormat="1" applyFill="1" applyAlignment="1">
      <alignment horizontal="right"/>
    </xf>
    <xf numFmtId="164" fontId="1" fillId="9" borderId="0" xfId="12" applyNumberFormat="1" applyFont="1" applyFill="1"/>
    <xf numFmtId="43" fontId="1" fillId="9" borderId="0" xfId="12" applyFont="1" applyFill="1"/>
    <xf numFmtId="43" fontId="0" fillId="0" borderId="0" xfId="12" applyFont="1"/>
    <xf numFmtId="43" fontId="30" fillId="0" borderId="0" xfId="9" applyNumberFormat="1"/>
    <xf numFmtId="164" fontId="30" fillId="0" borderId="0" xfId="9" applyNumberFormat="1"/>
    <xf numFmtId="173" fontId="30" fillId="10" borderId="0" xfId="9" applyNumberFormat="1" applyFill="1" applyAlignment="1">
      <alignment horizontal="right"/>
    </xf>
    <xf numFmtId="41" fontId="4" fillId="6" borderId="1" xfId="3" applyNumberFormat="1" applyFont="1" applyFill="1" applyBorder="1"/>
    <xf numFmtId="0" fontId="31" fillId="0" borderId="0" xfId="0" applyFont="1"/>
    <xf numFmtId="0" fontId="31" fillId="0" borderId="0" xfId="0" applyFont="1" applyAlignment="1">
      <alignment wrapText="1"/>
    </xf>
    <xf numFmtId="0" fontId="0" fillId="11" borderId="0" xfId="0" applyFill="1"/>
    <xf numFmtId="44" fontId="0" fillId="11" borderId="0" xfId="2" applyFont="1" applyFill="1"/>
    <xf numFmtId="44" fontId="0" fillId="11" borderId="0" xfId="0" applyNumberFormat="1" applyFill="1"/>
    <xf numFmtId="44" fontId="0" fillId="11" borderId="4" xfId="0" applyNumberFormat="1" applyFill="1" applyBorder="1"/>
    <xf numFmtId="44" fontId="0" fillId="0" borderId="0" xfId="0" applyNumberFormat="1"/>
    <xf numFmtId="0" fontId="31" fillId="0" borderId="24" xfId="0" applyFont="1" applyBorder="1"/>
    <xf numFmtId="44" fontId="0" fillId="0" borderId="24" xfId="0" applyNumberFormat="1" applyBorder="1"/>
    <xf numFmtId="0" fontId="31" fillId="11" borderId="0" xfId="0" applyFont="1" applyFill="1"/>
    <xf numFmtId="44" fontId="0" fillId="0" borderId="2" xfId="0" applyNumberFormat="1" applyBorder="1"/>
    <xf numFmtId="0" fontId="31" fillId="11" borderId="0" xfId="0" applyFont="1" applyFill="1" applyAlignment="1">
      <alignment horizontal="center"/>
    </xf>
    <xf numFmtId="0" fontId="31" fillId="12" borderId="0" xfId="0" applyFont="1" applyFill="1" applyAlignment="1">
      <alignment horizontal="center"/>
    </xf>
    <xf numFmtId="0" fontId="0" fillId="0" borderId="5" xfId="0" applyBorder="1"/>
    <xf numFmtId="0" fontId="31" fillId="11" borderId="5" xfId="0" applyFont="1" applyFill="1" applyBorder="1" applyAlignment="1">
      <alignment horizontal="center"/>
    </xf>
    <xf numFmtId="0" fontId="31" fillId="12" borderId="5" xfId="0" applyFont="1" applyFill="1" applyBorder="1" applyAlignment="1">
      <alignment horizontal="center"/>
    </xf>
    <xf numFmtId="0" fontId="0" fillId="13" borderId="0" xfId="0" applyFill="1"/>
    <xf numFmtId="164" fontId="0" fillId="13" borderId="0" xfId="1" applyNumberFormat="1" applyFont="1" applyFill="1"/>
    <xf numFmtId="164" fontId="0" fillId="0" borderId="0" xfId="1" applyNumberFormat="1" applyFont="1"/>
    <xf numFmtId="1" fontId="0" fillId="13" borderId="0" xfId="0" applyNumberFormat="1" applyFill="1"/>
    <xf numFmtId="1" fontId="0" fillId="0" borderId="0" xfId="0" applyNumberFormat="1"/>
    <xf numFmtId="0" fontId="0" fillId="14" borderId="0" xfId="0" applyFill="1"/>
    <xf numFmtId="44" fontId="0" fillId="14" borderId="0" xfId="2" applyFont="1" applyFill="1"/>
    <xf numFmtId="44" fontId="0" fillId="14" borderId="0" xfId="0" applyNumberFormat="1" applyFill="1"/>
    <xf numFmtId="44" fontId="0" fillId="14" borderId="4" xfId="0" applyNumberFormat="1" applyFill="1" applyBorder="1"/>
    <xf numFmtId="0" fontId="31" fillId="14" borderId="0" xfId="0" applyFont="1" applyFill="1"/>
    <xf numFmtId="44" fontId="0" fillId="11" borderId="0" xfId="0" applyNumberFormat="1" applyFill="1" applyBorder="1"/>
    <xf numFmtId="0" fontId="31" fillId="14" borderId="0" xfId="0" applyFont="1" applyFill="1" applyAlignment="1">
      <alignment horizontal="center"/>
    </xf>
    <xf numFmtId="0" fontId="31" fillId="14" borderId="5" xfId="0" applyFont="1" applyFill="1" applyBorder="1" applyAlignment="1">
      <alignment horizontal="center"/>
    </xf>
    <xf numFmtId="166" fontId="4" fillId="6" borderId="2" xfId="3" applyNumberFormat="1" applyFont="1" applyFill="1" applyBorder="1"/>
    <xf numFmtId="167" fontId="4" fillId="0" borderId="1" xfId="3" applyNumberFormat="1" applyFont="1" applyBorder="1"/>
    <xf numFmtId="167" fontId="4" fillId="0" borderId="6" xfId="3" applyNumberFormat="1" applyFont="1" applyBorder="1"/>
    <xf numFmtId="4" fontId="1" fillId="0" borderId="0" xfId="6" applyNumberFormat="1"/>
    <xf numFmtId="0" fontId="4" fillId="0" borderId="0" xfId="6" applyFont="1"/>
    <xf numFmtId="2" fontId="4" fillId="0" borderId="0" xfId="6" applyNumberFormat="1" applyFont="1"/>
    <xf numFmtId="4" fontId="4" fillId="0" borderId="0" xfId="6" applyNumberFormat="1" applyFont="1"/>
    <xf numFmtId="4" fontId="4" fillId="0" borderId="1" xfId="6" applyNumberFormat="1" applyFont="1" applyBorder="1"/>
    <xf numFmtId="40" fontId="4" fillId="0" borderId="1" xfId="6" applyNumberFormat="1" applyFont="1" applyBorder="1"/>
    <xf numFmtId="0" fontId="4" fillId="0" borderId="0" xfId="6" applyFont="1" applyAlignment="1">
      <alignment horizontal="center"/>
    </xf>
    <xf numFmtId="40" fontId="4" fillId="0" borderId="0" xfId="6" applyNumberFormat="1" applyFont="1"/>
    <xf numFmtId="44" fontId="0" fillId="0" borderId="0" xfId="2" applyFont="1"/>
    <xf numFmtId="17" fontId="4" fillId="0" borderId="0" xfId="6" applyNumberFormat="1" applyFont="1"/>
    <xf numFmtId="17" fontId="1" fillId="0" borderId="0" xfId="6" applyNumberFormat="1"/>
    <xf numFmtId="0" fontId="3" fillId="0" borderId="0" xfId="6" applyFont="1"/>
    <xf numFmtId="17" fontId="3" fillId="0" borderId="0" xfId="6" applyNumberFormat="1" applyFont="1" applyAlignment="1">
      <alignment horizontal="center"/>
    </xf>
    <xf numFmtId="4" fontId="3" fillId="0" borderId="0" xfId="6" applyNumberFormat="1" applyFont="1" applyAlignment="1">
      <alignment horizontal="center"/>
    </xf>
    <xf numFmtId="0" fontId="3" fillId="0" borderId="0" xfId="6" applyFont="1" applyFill="1" applyBorder="1"/>
    <xf numFmtId="0" fontId="1" fillId="0" borderId="0" xfId="6" applyBorder="1"/>
    <xf numFmtId="0" fontId="3" fillId="0" borderId="0" xfId="6" applyFont="1" applyBorder="1"/>
    <xf numFmtId="2" fontId="1" fillId="0" borderId="0" xfId="6" applyNumberFormat="1"/>
    <xf numFmtId="169" fontId="1" fillId="0" borderId="0" xfId="6" applyNumberFormat="1"/>
    <xf numFmtId="0" fontId="1" fillId="0" borderId="0" xfId="6" applyNumberFormat="1"/>
    <xf numFmtId="0" fontId="3" fillId="0" borderId="0" xfId="6" applyNumberFormat="1" applyFont="1" applyAlignment="1">
      <alignment horizontal="center"/>
    </xf>
    <xf numFmtId="169" fontId="1" fillId="0" borderId="0" xfId="6" applyNumberFormat="1" applyBorder="1"/>
    <xf numFmtId="17" fontId="1" fillId="0" borderId="0" xfId="6" applyNumberFormat="1" applyBorder="1"/>
    <xf numFmtId="0" fontId="6" fillId="0" borderId="0" xfId="6" applyFont="1"/>
    <xf numFmtId="0" fontId="4" fillId="0" borderId="0" xfId="6" applyFont="1" applyBorder="1"/>
    <xf numFmtId="44" fontId="6" fillId="0" borderId="0" xfId="6" applyNumberFormat="1" applyFont="1" applyBorder="1"/>
    <xf numFmtId="44" fontId="4" fillId="0" borderId="0" xfId="6" applyNumberFormat="1" applyFont="1"/>
    <xf numFmtId="44" fontId="1" fillId="0" borderId="0" xfId="6" applyNumberFormat="1" applyBorder="1"/>
    <xf numFmtId="0" fontId="4" fillId="0" borderId="0" xfId="6" applyFont="1" applyFill="1"/>
    <xf numFmtId="0" fontId="10" fillId="0" borderId="0" xfId="6" applyFont="1" applyFill="1"/>
    <xf numFmtId="44" fontId="4" fillId="0" borderId="0" xfId="6" applyNumberFormat="1" applyFont="1" applyFill="1"/>
    <xf numFmtId="44" fontId="18" fillId="0" borderId="0" xfId="6" applyNumberFormat="1" applyFont="1" applyFill="1" applyBorder="1"/>
    <xf numFmtId="17" fontId="4" fillId="0" borderId="0" xfId="6" applyNumberFormat="1" applyFont="1" applyAlignment="1">
      <alignment horizontal="center"/>
    </xf>
    <xf numFmtId="7" fontId="1" fillId="0" borderId="0" xfId="6" applyNumberFormat="1" applyFont="1" applyFill="1" applyBorder="1" applyAlignment="1">
      <alignment horizontal="center"/>
    </xf>
    <xf numFmtId="0" fontId="6" fillId="0" borderId="0" xfId="6" quotePrefix="1" applyFont="1" applyAlignment="1">
      <alignment horizontal="left"/>
    </xf>
    <xf numFmtId="0" fontId="4" fillId="0" borderId="0" xfId="6" applyFont="1" applyFill="1" applyAlignment="1">
      <alignment horizontal="center"/>
    </xf>
    <xf numFmtId="10" fontId="4" fillId="0" borderId="0" xfId="6" applyNumberFormat="1" applyFont="1" applyFill="1"/>
    <xf numFmtId="10" fontId="4" fillId="2" borderId="0" xfId="6" applyNumberFormat="1" applyFont="1" applyFill="1"/>
    <xf numFmtId="43" fontId="4" fillId="0" borderId="0" xfId="6" applyNumberFormat="1" applyFont="1"/>
    <xf numFmtId="2" fontId="6" fillId="2" borderId="0" xfId="6" applyNumberFormat="1" applyFont="1" applyFill="1" applyBorder="1"/>
    <xf numFmtId="2" fontId="6" fillId="0" borderId="0" xfId="6" applyNumberFormat="1" applyFont="1"/>
    <xf numFmtId="17" fontId="4" fillId="0" borderId="0" xfId="6" applyNumberFormat="1" applyFont="1" applyFill="1" applyBorder="1" applyAlignment="1">
      <alignment horizontal="center"/>
    </xf>
    <xf numFmtId="17" fontId="4" fillId="2" borderId="0" xfId="6" applyNumberFormat="1" applyFont="1" applyFill="1" applyBorder="1" applyAlignment="1">
      <alignment horizontal="center"/>
    </xf>
    <xf numFmtId="0" fontId="6" fillId="0" borderId="0" xfId="6" applyFont="1" applyAlignment="1">
      <alignment horizontal="center"/>
    </xf>
    <xf numFmtId="0" fontId="6" fillId="0" borderId="0" xfId="6" applyFont="1" applyAlignment="1">
      <alignment horizontal="centerContinuous"/>
    </xf>
    <xf numFmtId="0" fontId="4" fillId="0" borderId="0" xfId="6" applyFont="1" applyFill="1" applyBorder="1" applyAlignment="1">
      <alignment horizontal="center"/>
    </xf>
    <xf numFmtId="44" fontId="4" fillId="0" borderId="0" xfId="2" applyNumberFormat="1" applyFont="1"/>
    <xf numFmtId="174" fontId="4" fillId="0" borderId="2" xfId="3" applyNumberFormat="1" applyFont="1" applyBorder="1"/>
    <xf numFmtId="4" fontId="6" fillId="0" borderId="0" xfId="6" applyNumberFormat="1" applyFont="1"/>
    <xf numFmtId="4" fontId="6" fillId="0" borderId="1" xfId="6" applyNumberFormat="1" applyFont="1" applyBorder="1"/>
    <xf numFmtId="44" fontId="1" fillId="0" borderId="0" xfId="6" applyNumberFormat="1"/>
    <xf numFmtId="9" fontId="4" fillId="15" borderId="7" xfId="5" applyFont="1" applyFill="1" applyBorder="1"/>
    <xf numFmtId="166" fontId="4" fillId="15" borderId="0" xfId="3" applyNumberFormat="1" applyFont="1" applyFill="1"/>
    <xf numFmtId="41" fontId="9" fillId="6" borderId="0" xfId="3" applyNumberFormat="1" applyFont="1" applyFill="1"/>
    <xf numFmtId="41" fontId="9" fillId="6" borderId="0" xfId="3" applyNumberFormat="1" applyFont="1" applyFill="1" applyAlignment="1">
      <alignment horizontal="center"/>
    </xf>
    <xf numFmtId="0" fontId="1" fillId="0" borderId="0" xfId="6" applyFill="1"/>
    <xf numFmtId="44" fontId="1" fillId="0" borderId="0" xfId="6" applyNumberFormat="1" applyFill="1"/>
    <xf numFmtId="44" fontId="1" fillId="0" borderId="0" xfId="2" applyNumberFormat="1" applyFont="1" applyFill="1"/>
    <xf numFmtId="165" fontId="35" fillId="16" borderId="25" xfId="5" applyNumberFormat="1" applyFont="1" applyFill="1" applyBorder="1"/>
    <xf numFmtId="0" fontId="3" fillId="0" borderId="0" xfId="6" applyFont="1" applyFill="1"/>
    <xf numFmtId="44" fontId="36" fillId="2" borderId="7" xfId="2" applyNumberFormat="1" applyFont="1" applyFill="1" applyBorder="1"/>
    <xf numFmtId="44" fontId="4" fillId="2" borderId="7" xfId="2" applyNumberFormat="1" applyFont="1" applyFill="1" applyBorder="1"/>
    <xf numFmtId="44" fontId="4" fillId="2" borderId="7" xfId="2" applyNumberFormat="1" applyFont="1" applyFill="1" applyBorder="1" applyAlignment="1">
      <alignment horizontal="center"/>
    </xf>
    <xf numFmtId="44" fontId="36" fillId="2" borderId="7" xfId="2" applyNumberFormat="1" applyFont="1" applyFill="1" applyBorder="1" applyAlignment="1">
      <alignment horizontal="center"/>
    </xf>
    <xf numFmtId="175" fontId="4" fillId="6" borderId="2" xfId="3" applyNumberFormat="1" applyFont="1" applyFill="1" applyBorder="1"/>
    <xf numFmtId="167" fontId="4" fillId="15" borderId="6" xfId="3" applyNumberFormat="1" applyFont="1" applyFill="1" applyBorder="1"/>
    <xf numFmtId="175" fontId="4" fillId="0" borderId="2" xfId="3" applyNumberFormat="1" applyFont="1" applyBorder="1"/>
    <xf numFmtId="166" fontId="9" fillId="0" borderId="0" xfId="3" applyNumberFormat="1" applyFont="1"/>
    <xf numFmtId="168" fontId="4" fillId="0" borderId="0" xfId="3" applyNumberFormat="1" applyFont="1" applyFill="1" applyAlignment="1">
      <alignment horizontal="right"/>
    </xf>
    <xf numFmtId="44" fontId="1" fillId="6" borderId="0" xfId="6" applyNumberFormat="1" applyFill="1"/>
    <xf numFmtId="8" fontId="4" fillId="2" borderId="7" xfId="2" applyNumberFormat="1" applyFont="1" applyFill="1" applyBorder="1"/>
    <xf numFmtId="44" fontId="0" fillId="6" borderId="0" xfId="0" applyNumberFormat="1" applyFill="1"/>
    <xf numFmtId="0" fontId="0" fillId="0" borderId="0" xfId="0" applyFill="1"/>
    <xf numFmtId="44" fontId="0" fillId="0" borderId="0" xfId="0" applyNumberFormat="1" applyFill="1"/>
    <xf numFmtId="0" fontId="3" fillId="0" borderId="0" xfId="0" applyFont="1" applyFill="1"/>
    <xf numFmtId="44" fontId="0" fillId="0" borderId="0" xfId="0" applyNumberFormat="1" applyBorder="1"/>
    <xf numFmtId="0" fontId="22" fillId="7" borderId="16" xfId="6" applyFont="1" applyFill="1" applyBorder="1" applyAlignment="1">
      <alignment horizontal="center"/>
    </xf>
    <xf numFmtId="0" fontId="22" fillId="7" borderId="0" xfId="6" applyFont="1" applyFill="1" applyBorder="1" applyAlignment="1">
      <alignment horizontal="center"/>
    </xf>
    <xf numFmtId="0" fontId="22" fillId="7" borderId="17" xfId="6" applyFont="1" applyFill="1" applyBorder="1" applyAlignment="1">
      <alignment horizontal="center"/>
    </xf>
    <xf numFmtId="43" fontId="26" fillId="6" borderId="17" xfId="6" applyNumberFormat="1" applyFont="1" applyFill="1" applyBorder="1"/>
    <xf numFmtId="44" fontId="25" fillId="6" borderId="0" xfId="7" applyFont="1" applyFill="1" applyBorder="1"/>
    <xf numFmtId="0" fontId="21" fillId="7" borderId="16" xfId="6" applyFont="1" applyFill="1" applyBorder="1" applyAlignment="1">
      <alignment horizontal="center"/>
    </xf>
    <xf numFmtId="0" fontId="21" fillId="7" borderId="0" xfId="6" applyFont="1" applyFill="1" applyBorder="1" applyAlignment="1">
      <alignment horizontal="center"/>
    </xf>
    <xf numFmtId="0" fontId="21" fillId="7" borderId="17" xfId="6" applyFont="1" applyFill="1" applyBorder="1" applyAlignment="1">
      <alignment horizontal="center"/>
    </xf>
    <xf numFmtId="0" fontId="22" fillId="7" borderId="16" xfId="6" applyFont="1" applyFill="1" applyBorder="1" applyAlignment="1">
      <alignment horizontal="center"/>
    </xf>
    <xf numFmtId="0" fontId="22" fillId="7" borderId="0" xfId="6" applyFont="1" applyFill="1" applyBorder="1" applyAlignment="1">
      <alignment horizontal="center"/>
    </xf>
    <xf numFmtId="0" fontId="22" fillId="7" borderId="17" xfId="6" applyFont="1" applyFill="1" applyBorder="1" applyAlignment="1">
      <alignment horizontal="center"/>
    </xf>
    <xf numFmtId="0" fontId="0" fillId="0" borderId="0" xfId="0" applyAlignment="1">
      <alignment horizontal="center"/>
    </xf>
    <xf numFmtId="0" fontId="31" fillId="0" borderId="0" xfId="0" applyFont="1" applyAlignment="1">
      <alignment horizontal="center"/>
    </xf>
    <xf numFmtId="0" fontId="31" fillId="14" borderId="0" xfId="0" applyFont="1" applyFill="1" applyAlignment="1">
      <alignment horizontal="center"/>
    </xf>
    <xf numFmtId="0" fontId="31" fillId="11" borderId="0" xfId="0" applyFont="1" applyFill="1" applyAlignment="1">
      <alignment horizontal="center"/>
    </xf>
  </cellXfs>
  <cellStyles count="13">
    <cellStyle name="Comma" xfId="1" builtinId="3"/>
    <cellStyle name="Comma 2" xfId="12"/>
    <cellStyle name="Comma 3 2" xfId="8"/>
    <cellStyle name="Currency" xfId="2" builtinId="4"/>
    <cellStyle name="Currency 2" xfId="10"/>
    <cellStyle name="Currency 3 2" xfId="7"/>
    <cellStyle name="Normal" xfId="0" builtinId="0"/>
    <cellStyle name="Normal 2" xfId="9"/>
    <cellStyle name="Normal 2 3" xfId="6"/>
    <cellStyle name="Normal_98REC_CR" xfId="3"/>
    <cellStyle name="Note" xfId="4" builtinId="10"/>
    <cellStyle name="Percent" xfId="5"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externalLink" Target="externalLinks/externalLink3.xml"/><Relationship Id="rId63" Type="http://schemas.openxmlformats.org/officeDocument/2006/relationships/externalLink" Target="externalLinks/externalLink19.xml"/><Relationship Id="rId68" Type="http://schemas.openxmlformats.org/officeDocument/2006/relationships/externalLink" Target="externalLinks/externalLink24.xml"/><Relationship Id="rId84" Type="http://schemas.openxmlformats.org/officeDocument/2006/relationships/calcChain" Target="calcChain.xml"/><Relationship Id="rId89" Type="http://schemas.openxmlformats.org/officeDocument/2006/relationships/customXml" Target="../customXml/item5.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9.xml"/><Relationship Id="rId58" Type="http://schemas.openxmlformats.org/officeDocument/2006/relationships/externalLink" Target="externalLinks/externalLink14.xml"/><Relationship Id="rId74" Type="http://schemas.openxmlformats.org/officeDocument/2006/relationships/externalLink" Target="externalLinks/externalLink30.xml"/><Relationship Id="rId79" Type="http://schemas.openxmlformats.org/officeDocument/2006/relationships/externalLink" Target="externalLinks/externalLink35.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4.xml"/><Relationship Id="rId56" Type="http://schemas.openxmlformats.org/officeDocument/2006/relationships/externalLink" Target="externalLinks/externalLink12.xml"/><Relationship Id="rId64" Type="http://schemas.openxmlformats.org/officeDocument/2006/relationships/externalLink" Target="externalLinks/externalLink20.xml"/><Relationship Id="rId69" Type="http://schemas.openxmlformats.org/officeDocument/2006/relationships/externalLink" Target="externalLinks/externalLink25.xml"/><Relationship Id="rId77" Type="http://schemas.openxmlformats.org/officeDocument/2006/relationships/externalLink" Target="externalLinks/externalLink33.xml"/><Relationship Id="rId8" Type="http://schemas.openxmlformats.org/officeDocument/2006/relationships/worksheet" Target="worksheets/sheet8.xml"/><Relationship Id="rId51" Type="http://schemas.openxmlformats.org/officeDocument/2006/relationships/externalLink" Target="externalLinks/externalLink7.xml"/><Relationship Id="rId72" Type="http://schemas.openxmlformats.org/officeDocument/2006/relationships/externalLink" Target="externalLinks/externalLink28.xml"/><Relationship Id="rId80" Type="http://schemas.openxmlformats.org/officeDocument/2006/relationships/externalLink" Target="externalLinks/externalLink36.xml"/><Relationship Id="rId85"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59" Type="http://schemas.openxmlformats.org/officeDocument/2006/relationships/externalLink" Target="externalLinks/externalLink15.xml"/><Relationship Id="rId67" Type="http://schemas.openxmlformats.org/officeDocument/2006/relationships/externalLink" Target="externalLinks/externalLink2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0.xml"/><Relationship Id="rId62" Type="http://schemas.openxmlformats.org/officeDocument/2006/relationships/externalLink" Target="externalLinks/externalLink18.xml"/><Relationship Id="rId70" Type="http://schemas.openxmlformats.org/officeDocument/2006/relationships/externalLink" Target="externalLinks/externalLink26.xml"/><Relationship Id="rId75" Type="http://schemas.openxmlformats.org/officeDocument/2006/relationships/externalLink" Target="externalLinks/externalLink31.xml"/><Relationship Id="rId83" Type="http://schemas.openxmlformats.org/officeDocument/2006/relationships/sharedStrings" Target="sharedStrings.xml"/><Relationship Id="rId88"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5.xml"/><Relationship Id="rId57" Type="http://schemas.openxmlformats.org/officeDocument/2006/relationships/externalLink" Target="externalLinks/externalLink1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8.xml"/><Relationship Id="rId60" Type="http://schemas.openxmlformats.org/officeDocument/2006/relationships/externalLink" Target="externalLinks/externalLink16.xml"/><Relationship Id="rId65" Type="http://schemas.openxmlformats.org/officeDocument/2006/relationships/externalLink" Target="externalLinks/externalLink21.xml"/><Relationship Id="rId73" Type="http://schemas.openxmlformats.org/officeDocument/2006/relationships/externalLink" Target="externalLinks/externalLink29.xml"/><Relationship Id="rId78" Type="http://schemas.openxmlformats.org/officeDocument/2006/relationships/externalLink" Target="externalLinks/externalLink34.xml"/><Relationship Id="rId81" Type="http://schemas.openxmlformats.org/officeDocument/2006/relationships/theme" Target="theme/theme1.xml"/><Relationship Id="rId86"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externalLink" Target="externalLinks/externalLink6.xml"/><Relationship Id="rId55" Type="http://schemas.openxmlformats.org/officeDocument/2006/relationships/externalLink" Target="externalLinks/externalLink11.xml"/><Relationship Id="rId76" Type="http://schemas.openxmlformats.org/officeDocument/2006/relationships/externalLink" Target="externalLinks/externalLink32.xml"/><Relationship Id="rId7" Type="http://schemas.openxmlformats.org/officeDocument/2006/relationships/worksheet" Target="worksheets/sheet7.xml"/><Relationship Id="rId71" Type="http://schemas.openxmlformats.org/officeDocument/2006/relationships/externalLink" Target="externalLinks/externalLink27.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externalLink" Target="externalLinks/externalLink1.xml"/><Relationship Id="rId66" Type="http://schemas.openxmlformats.org/officeDocument/2006/relationships/externalLink" Target="externalLinks/externalLink22.xml"/><Relationship Id="rId87" Type="http://schemas.openxmlformats.org/officeDocument/2006/relationships/customXml" Target="../customXml/item3.xml"/><Relationship Id="rId61" Type="http://schemas.openxmlformats.org/officeDocument/2006/relationships/externalLink" Target="externalLinks/externalLink17.xml"/><Relationship Id="rId82" Type="http://schemas.openxmlformats.org/officeDocument/2006/relationships/styles" Target="styles.xml"/><Relationship Id="rId19" Type="http://schemas.openxmlformats.org/officeDocument/2006/relationships/worksheet" Target="worksheets/sheet19.xml"/></Relationships>
</file>

<file path=xl/drawings/drawing1.xml><?xml version="1.0" encoding="utf-8"?>
<xdr:wsDr xmlns:xdr="http://schemas.openxmlformats.org/drawingml/2006/spreadsheetDrawing" xmlns:a="http://schemas.openxmlformats.org/drawingml/2006/main">
  <xdr:twoCellAnchor>
    <xdr:from>
      <xdr:col>16</xdr:col>
      <xdr:colOff>19050</xdr:colOff>
      <xdr:row>83</xdr:row>
      <xdr:rowOff>0</xdr:rowOff>
    </xdr:from>
    <xdr:to>
      <xdr:col>20</xdr:col>
      <xdr:colOff>19050</xdr:colOff>
      <xdr:row>84</xdr:row>
      <xdr:rowOff>133350</xdr:rowOff>
    </xdr:to>
    <xdr:sp macro="" textlink="">
      <xdr:nvSpPr>
        <xdr:cNvPr id="2" name="Double Bracket 1"/>
        <xdr:cNvSpPr>
          <a:spLocks noChangeArrowheads="1"/>
        </xdr:cNvSpPr>
      </xdr:nvSpPr>
      <xdr:spPr bwMode="auto">
        <a:xfrm>
          <a:off x="9772650" y="13439775"/>
          <a:ext cx="2438400" cy="295275"/>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xdr:colOff>
      <xdr:row>83</xdr:row>
      <xdr:rowOff>0</xdr:rowOff>
    </xdr:from>
    <xdr:to>
      <xdr:col>20</xdr:col>
      <xdr:colOff>19050</xdr:colOff>
      <xdr:row>84</xdr:row>
      <xdr:rowOff>133350</xdr:rowOff>
    </xdr:to>
    <xdr:sp macro="" textlink="">
      <xdr:nvSpPr>
        <xdr:cNvPr id="2" name="Double Bracket 1"/>
        <xdr:cNvSpPr>
          <a:spLocks noChangeArrowheads="1"/>
        </xdr:cNvSpPr>
      </xdr:nvSpPr>
      <xdr:spPr bwMode="auto">
        <a:xfrm>
          <a:off x="9772650" y="13439775"/>
          <a:ext cx="2438400" cy="295275"/>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19050</xdr:colOff>
      <xdr:row>83</xdr:row>
      <xdr:rowOff>0</xdr:rowOff>
    </xdr:from>
    <xdr:to>
      <xdr:col>20</xdr:col>
      <xdr:colOff>19050</xdr:colOff>
      <xdr:row>84</xdr:row>
      <xdr:rowOff>133350</xdr:rowOff>
    </xdr:to>
    <xdr:sp macro="" textlink="">
      <xdr:nvSpPr>
        <xdr:cNvPr id="2" name="Double Bracket 1"/>
        <xdr:cNvSpPr>
          <a:spLocks noChangeArrowheads="1"/>
        </xdr:cNvSpPr>
      </xdr:nvSpPr>
      <xdr:spPr bwMode="auto">
        <a:xfrm>
          <a:off x="9772650" y="13439775"/>
          <a:ext cx="2438400" cy="295275"/>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22860</xdr:colOff>
      <xdr:row>83</xdr:row>
      <xdr:rowOff>0</xdr:rowOff>
    </xdr:from>
    <xdr:to>
      <xdr:col>20</xdr:col>
      <xdr:colOff>22860</xdr:colOff>
      <xdr:row>84</xdr:row>
      <xdr:rowOff>121920</xdr:rowOff>
    </xdr:to>
    <xdr:sp macro="" textlink="">
      <xdr:nvSpPr>
        <xdr:cNvPr id="2198" name="Double Bracket 1"/>
        <xdr:cNvSpPr>
          <a:spLocks noChangeArrowheads="1"/>
        </xdr:cNvSpPr>
      </xdr:nvSpPr>
      <xdr:spPr bwMode="auto">
        <a:xfrm>
          <a:off x="11224260" y="11384280"/>
          <a:ext cx="2613660" cy="25146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ome.utc.wa.gov/sites/TransportationPvt/SolidWaste/Closed/TG-141290/TG-141290%20Kent%20Meridian%20Single%20Family%20Commodity%20Credit%20Template%20-%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UTIL\MIGRAT~2\COMPAN~1\FIORIT~1.&amp;RA\COMMOD~1\131164~1\TG-131164%20Kent%20Meridian%20Multi%20Family%20Commodity%20Credit%20Template%202013%20revised.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172-01\Share\District\Accounting\WUTC%20Files\RSA\2013-14%20Plan%20Year\WUTC%20Filing%20Working%20Documents\SeaTac%20Multi%20Family%20Commodity%20Credit%20Template%20-%2020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rwaldren/AppData/Local/Microsoft/Windows/Temporary%20Internet%20Files/Content.Outlook/4RO9G3TQ/181017%20-%20Kent%20Meridian%20Single%20Family%20Commodity%20Credit%20Template%20-%20Dec%20201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172-01\Share\District\~WUTC%20Files~\1.%20RSA\2015-2017%20Plan%20Year\Commodity%20Credit%20Templates%202015-2016\Kent%20Meridian%20Single%20Family%20Commodity%20Credit%20Template%20-%20201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172-01\Share\District\WUTC%20Files\RSA\2014-2015%20Plan%20Year\WUTC%20Filing%20Working%20Documents\Kent%20Meridian%20Single%20Family%20Commodity%20Credit%20Template%20-%2020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istrict/~WUTC%20Files~/1.%20RSA/2015-2017%20Plan%20Year/June%202017%20UTC%20filing/Kent%20Meridian%20Tariff%2027/Kent%20Meridian%20Commodity%20Credit%20Templates%202017/EastSide%20Multi%20Family%20Commodity%20Credit%20Template%20-%20201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istrict/~WUTC%20Files~/1.%20RSA/2015-2017%20Plan%20Year/June%202017%20UTC%20filing/Kent%20Meridian%20Tariff%2027/Kent%20Meridian%20Commodity%20Credit%20Templates%202017/EastSide%20Single%20Family%20Commodity%20Credit%20Template%20-%20201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istrict/~WUTC%20Files~/1.%20RSA/2015-2017%20Plan%20Year/June%202017%20UTC%20filing/Kent%20Meridian%20Tariff%2027/Kent%20Meridian%20Commodity%20Credit%20Templates%202017/Kent%20Meridian%20Multi%20Family%20Commodity%20Credit%20Template%20-%20201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istrict/~WUTC%20Files~/1.%20RSA/2015-2017%20Plan%20Year/June%202017%20UTC%20filing/Kent%20Meridian%20Tariff%2027/Kent%20Meridian%20Commodity%20Credit%20Templates%202017/SeaTac%20Single%20Family%20Commodity%20Credit%20Template%20-%20201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istrict/~WUTC%20Files~/1.%20RSA/2015-2017%20Plan%20Year/June%202017%20UTC%20filing/Kent%20Meridian%20Tariff%2027/Kent%20Meridian%20Commodity%20Credit%20Templates%202017/SeaTac%20Multi%20Family%20Commodity%20Credit%20Template%20-%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TIL\MIGRAT~2\COMPAN~1\FIORIT~1.&amp;RA\COMMOD~1\131164~1\TG-131164%20Kent%20Meridian%20Single%20Family%20Commodity%20Credit%20Template%202013%20revised.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172-01\Share\District\~WUTC%20Files~\1.%20RSA\2014-2015%20Plan%20Year\WUTC%20Final%20Filing%20Documents\Eastside%20-%20Tariff%2011\Commodity%20Credit%20Templates%202015\EastSide%20Single%20Family%20Commodity%20Credit%20Template%20-%20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apps.utc.wa.gov/apps/cases/2017/170708/Filed%20Documents/00002/EastSide%20Multi%20Family%20Commodity%20Credit%20Template%20-%20201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apps.utc.wa.gov/apps/cases/2017/170708/Filed%20Documents/00002/EastSide%20Single%20Family%20Commodity%20Credit%20Template%20-%20201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apps.utc.wa.gov/apps/cases/2017/170708/Filed%20Documents/00002/Kent%20Meridian%20Multi%20Family%20Commodity%20Credit%20Template%20-%20201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apps.utc.wa.gov/apps/cases/2017/170708/Filed%20Documents/00002/SeaTac%20Single%20Family%20Commodity%20Credit%20Template%20-%202017.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apps.utc.wa.gov/apps/cases/2017/170708/Filed%20Documents/00002/SeaTac%20Multi%20Family%20Commodity%20Credit%20Template%20-%20201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apps.utc.wa.gov/apps/cases/2015/151215/Filed%20Documents/00002/King%202015-2017%20RSA%20agreement%20submission/Attachment%20C%20-%20Republic%20Services%20King%20Co%20RSA%20Budget%2015-17.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apps.utc.wa.gov/apps/cases/2015/151215/Filed%20Documents/00002/Snohomish%202015-2017%20RSA%20agreement%20submission/Attachment%20C%20-%20Republic%20Services%20-%20Sno%20Co%20RSA%202015-17%20Budget.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apps.utc.wa.gov/District/Accounting/WUTC%20Files/RSA/2013-14%20Plan%20Year/WUTC%20Filing%20Working%20Documents/SeaTac%20Multi%20Family%20Commodity%20Credit%20Template%20-%20201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apps.utc.wa.gov/District/Accounting/WUTC%20Files/RSA/2015-2017%20Plan%20Year/2014-2015%20Additional%20passback%20to%20custome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TIL\TRANS\Dave%20G\2012%20Filings\TG-121058\Kent%20Meridian%20Single%20Family%20Commodity%20Credit%20Template%20-%202012%20version%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apps.utc.wa.gov/District/Accounting/WUTC%20Files/RSA/2013-14%20Plan%20Year/WUTC%20Filing%20Working%20Documents/Kent%20Meridian%20Single%20Family%20Commodity%20Credit%20Template%20-%20201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apps.utc.wa.gov/apps/cases/2015/151226/Filed%20Documents/00002/Kent%20Meridian%20Multi%20Family%20Commodity%20Credit%20Template%20-%20201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apps.utc.wa.gov/apps/cases/2015/151226/Filed%20Documents/00002/EastSide%20Single%20Family%20Commodity%20Credit%20Template%20-%20201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apps.utc.wa.gov/apps/cases/2015/151226/Filed%20Documents/00002/EastSide%20Multi%20Family%20Commodity%20Credit%20Template%20-%20201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apps.utc.wa.gov/apps/cases/2015/151226/Filed%20Documents/00002/SeaTac%20Multi%20Family%20Commodity%20Credit%20Template%20-%20201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apps.utc.wa.gov/apps/cases/2015/151226/Filed%20Documents/00002/SeaTac%20Single%20Family%20Commodity%20Credit%20Template%20-%202015.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apps.utc.wa.gov/apps/cases/2015/151226/Filed%20Documents/00002/TG-151226%20Kent%20Meridian%20Multi%20Family%20Commodity%20Credit%20Template%20-%20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UTIL\TRANS\Dave%20G\2011%20Filings\TG-111121\Copy%20of%20111121%20Kent%20Meridian%20Single%20Family%20Commodity%20Credit%20Template%20-%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home.utc.wa.gov/sites/TransportationPvt/SolidWaste/Closed/TG-141290/TG-141290%20Breakdown%20of%20additional%20revenue%20passback%20to%20custome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home.utc.wa.gov/sites/TransportationPvt/SolidWaste/Closed/TG-141290/TG-141290%20%20Kent%20Meridian%20Multi%20Family%20Commodity%20Credit%20Template%20-%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UTIL\MIGRAT~2\COMPAN~1\FIORIT~1.&amp;RA\COMMOD~1\131164~1\TG-131164%20Kent%20Meridian%20Multi%20Family%20Commodity%20Credit%202013%20revised%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UTIL\TRANS\Dave%20G\2012%20Filings\TG-121058\Kent%20Meridian%20Multi%20Family%20Commodity%20Credit%20Template%20-%202012%20version%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UTIL\TRANS\Dave%20G\2011%20Filings\TG-111121\Copy%20of%20111121%20Kent%20Meridian%20Multi%20Family%20Commodity%20Credit%20Template%20-%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nalysis"/>
      <sheetName val="WUTC_KENT_SF"/>
      <sheetName val="Value"/>
      <sheetName val="Commodity Tonnages"/>
      <sheetName val="Pricing"/>
      <sheetName val="Single Family"/>
    </sheetNames>
    <sheetDataSet>
      <sheetData sheetId="0"/>
      <sheetData sheetId="1">
        <row r="8">
          <cell r="B8">
            <v>26476</v>
          </cell>
        </row>
        <row r="9">
          <cell r="B9">
            <v>26571</v>
          </cell>
        </row>
        <row r="10">
          <cell r="B10">
            <v>21901</v>
          </cell>
        </row>
        <row r="14">
          <cell r="B14">
            <v>21960</v>
          </cell>
        </row>
        <row r="15">
          <cell r="B15">
            <v>22046</v>
          </cell>
        </row>
        <row r="16">
          <cell r="B16">
            <v>22176</v>
          </cell>
        </row>
        <row r="17">
          <cell r="B17">
            <v>22023</v>
          </cell>
        </row>
        <row r="18">
          <cell r="B18">
            <v>22184</v>
          </cell>
        </row>
        <row r="19">
          <cell r="B19">
            <v>22148</v>
          </cell>
        </row>
        <row r="20">
          <cell r="B20">
            <v>22172</v>
          </cell>
        </row>
        <row r="21">
          <cell r="B21">
            <v>22223</v>
          </cell>
        </row>
        <row r="22">
          <cell r="B22">
            <v>22256</v>
          </cell>
        </row>
        <row r="56">
          <cell r="N56">
            <v>0.5</v>
          </cell>
        </row>
        <row r="65">
          <cell r="I65">
            <v>5.0036113856937452E-2</v>
          </cell>
        </row>
      </sheetData>
      <sheetData sheetId="2">
        <row r="20">
          <cell r="M20">
            <v>476003.90228669689</v>
          </cell>
          <cell r="O20">
            <v>263558.91103915818</v>
          </cell>
        </row>
      </sheetData>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KENT_MF"/>
      <sheetName val="Value"/>
      <sheetName val="Commodity Tonnages"/>
      <sheetName val="Pricing"/>
      <sheetName val="Multi_Family"/>
    </sheetNames>
    <sheetDataSet>
      <sheetData sheetId="0"/>
      <sheetData sheetId="1">
        <row r="30">
          <cell r="G30">
            <v>3708.3306417302647</v>
          </cell>
        </row>
      </sheetData>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_MF"/>
      <sheetName val="Value"/>
      <sheetName val="Commodity Tonnages"/>
      <sheetName val="Pricing"/>
      <sheetName val="Multi_Family"/>
    </sheetNames>
    <sheetDataSet>
      <sheetData sheetId="0">
        <row r="56">
          <cell r="O56">
            <v>0.5</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KENT_SF"/>
      <sheetName val="Value"/>
      <sheetName val="Commodity Tonnages"/>
      <sheetName val="Pricing"/>
      <sheetName val="Single Family"/>
    </sheetNames>
    <sheetDataSet>
      <sheetData sheetId="0">
        <row r="1">
          <cell r="A1" t="str">
            <v>Kent-Meridian Disposal</v>
          </cell>
        </row>
        <row r="4">
          <cell r="A4" t="str">
            <v>Single Family</v>
          </cell>
        </row>
      </sheetData>
      <sheetData sheetId="1">
        <row r="2">
          <cell r="A2" t="str">
            <v>Kent-Meridian Disposal</v>
          </cell>
        </row>
        <row r="6">
          <cell r="O6" t="str">
            <v>Total</v>
          </cell>
        </row>
        <row r="7">
          <cell r="A7">
            <v>43221</v>
          </cell>
          <cell r="C7">
            <v>5060.916044999999</v>
          </cell>
          <cell r="D7">
            <v>-2783.0126188800004</v>
          </cell>
          <cell r="E7">
            <v>0</v>
          </cell>
          <cell r="F7">
            <v>931.97316960000001</v>
          </cell>
          <cell r="G7">
            <v>0</v>
          </cell>
          <cell r="H7">
            <v>-4608.5224492799989</v>
          </cell>
          <cell r="I7">
            <v>1405.5694727399998</v>
          </cell>
          <cell r="J7">
            <v>1405.5694727399998</v>
          </cell>
          <cell r="K7">
            <v>4832.7703142399996</v>
          </cell>
          <cell r="L7">
            <v>-4973.5564909200111</v>
          </cell>
          <cell r="M7">
            <v>1271.7069152399872</v>
          </cell>
          <cell r="O7">
            <v>635.85345761999361</v>
          </cell>
        </row>
        <row r="8">
          <cell r="A8">
            <v>43281</v>
          </cell>
          <cell r="C8">
            <v>5209.763559</v>
          </cell>
          <cell r="D8">
            <v>-2099.0510340800001</v>
          </cell>
          <cell r="E8">
            <v>0</v>
          </cell>
          <cell r="F8">
            <v>953.05820610000001</v>
          </cell>
          <cell r="G8">
            <v>0</v>
          </cell>
          <cell r="H8">
            <v>641.47283199999981</v>
          </cell>
          <cell r="I8">
            <v>1225.53955524</v>
          </cell>
          <cell r="J8">
            <v>1225.53955524</v>
          </cell>
          <cell r="K8">
            <v>6647.8344332399993</v>
          </cell>
          <cell r="L8">
            <v>-4953.284275940011</v>
          </cell>
          <cell r="M8">
            <v>8850.8728307999882</v>
          </cell>
          <cell r="O8">
            <v>4425.4364153999941</v>
          </cell>
        </row>
        <row r="9">
          <cell r="A9">
            <v>43312</v>
          </cell>
          <cell r="C9">
            <v>5181.4846545000009</v>
          </cell>
          <cell r="D9">
            <v>-409.39337712000003</v>
          </cell>
          <cell r="E9">
            <v>0</v>
          </cell>
          <cell r="F9">
            <v>974.54506379999998</v>
          </cell>
          <cell r="G9">
            <v>0</v>
          </cell>
          <cell r="H9">
            <v>1404.5165590399997</v>
          </cell>
          <cell r="I9">
            <v>1590.55472037</v>
          </cell>
          <cell r="J9">
            <v>1590.55472037</v>
          </cell>
          <cell r="K9">
            <v>7903.6396639200002</v>
          </cell>
          <cell r="L9">
            <v>-5176.7575119400117</v>
          </cell>
          <cell r="M9">
            <v>13059.14449293999</v>
          </cell>
          <cell r="O9">
            <v>6529.5722464699948</v>
          </cell>
        </row>
        <row r="10">
          <cell r="A10">
            <v>43343</v>
          </cell>
          <cell r="C10">
            <v>5392.0608555000008</v>
          </cell>
          <cell r="D10">
            <v>88.308983359999999</v>
          </cell>
          <cell r="E10">
            <v>0</v>
          </cell>
          <cell r="F10">
            <v>688.83396450000009</v>
          </cell>
          <cell r="G10">
            <v>0</v>
          </cell>
          <cell r="H10">
            <v>2937.1457708799994</v>
          </cell>
          <cell r="I10">
            <v>2553.3312185</v>
          </cell>
          <cell r="J10">
            <v>2553.3312185</v>
          </cell>
          <cell r="K10">
            <v>7293.8662790400003</v>
          </cell>
          <cell r="L10">
            <v>-5387.1416012600121</v>
          </cell>
          <cell r="M10">
            <v>16119.736689019985</v>
          </cell>
          <cell r="O10">
            <v>8059.8683445099923</v>
          </cell>
        </row>
        <row r="11">
          <cell r="A11">
            <v>43373</v>
          </cell>
          <cell r="C11">
            <v>3881.2328265000006</v>
          </cell>
          <cell r="D11">
            <v>-1423.1126509600003</v>
          </cell>
          <cell r="E11">
            <v>0</v>
          </cell>
          <cell r="F11">
            <v>632.29210275000014</v>
          </cell>
          <cell r="G11">
            <v>0</v>
          </cell>
          <cell r="H11">
            <v>7648.6973647999966</v>
          </cell>
          <cell r="I11">
            <v>973.6896743650002</v>
          </cell>
          <cell r="J11">
            <v>973.6896743650002</v>
          </cell>
          <cell r="K11">
            <v>6260.1003333000008</v>
          </cell>
          <cell r="L11">
            <v>-4391.1692755300101</v>
          </cell>
          <cell r="M11">
            <v>14555.420049589986</v>
          </cell>
          <cell r="O11">
            <v>7277.7100247949929</v>
          </cell>
        </row>
        <row r="12">
          <cell r="A12">
            <v>43404</v>
          </cell>
          <cell r="C12">
            <v>4525.1981302500008</v>
          </cell>
          <cell r="D12">
            <v>-1936.6124450400005</v>
          </cell>
          <cell r="E12">
            <v>0</v>
          </cell>
          <cell r="F12">
            <v>847.62638730000015</v>
          </cell>
          <cell r="G12">
            <v>0</v>
          </cell>
          <cell r="H12">
            <v>8751.0825662399966</v>
          </cell>
          <cell r="I12">
            <v>1110.2107218300002</v>
          </cell>
          <cell r="J12">
            <v>1110.2107218300002</v>
          </cell>
          <cell r="K12">
            <v>8393.257635840002</v>
          </cell>
          <cell r="L12">
            <v>-5244.3581658300118</v>
          </cell>
          <cell r="M12">
            <v>17556.615552419993</v>
          </cell>
          <cell r="O12">
            <v>8778.3077762099965</v>
          </cell>
        </row>
        <row r="13">
          <cell r="A13">
            <v>43434</v>
          </cell>
          <cell r="C13">
            <v>0</v>
          </cell>
          <cell r="D13">
            <v>0</v>
          </cell>
          <cell r="E13">
            <v>0</v>
          </cell>
          <cell r="F13">
            <v>0</v>
          </cell>
          <cell r="G13">
            <v>0</v>
          </cell>
          <cell r="H13">
            <v>0</v>
          </cell>
          <cell r="I13">
            <v>0</v>
          </cell>
          <cell r="J13">
            <v>0</v>
          </cell>
          <cell r="K13">
            <v>0</v>
          </cell>
          <cell r="L13">
            <v>0</v>
          </cell>
          <cell r="M13">
            <v>0</v>
          </cell>
          <cell r="O13">
            <v>0</v>
          </cell>
        </row>
        <row r="14">
          <cell r="A14">
            <v>43465</v>
          </cell>
          <cell r="C14">
            <v>0</v>
          </cell>
          <cell r="D14">
            <v>0</v>
          </cell>
          <cell r="E14">
            <v>0</v>
          </cell>
          <cell r="F14">
            <v>0</v>
          </cell>
          <cell r="G14">
            <v>0</v>
          </cell>
          <cell r="H14">
            <v>0</v>
          </cell>
          <cell r="I14">
            <v>0</v>
          </cell>
          <cell r="J14">
            <v>0</v>
          </cell>
          <cell r="K14">
            <v>0</v>
          </cell>
          <cell r="L14">
            <v>0</v>
          </cell>
          <cell r="M14">
            <v>0</v>
          </cell>
          <cell r="O14">
            <v>0</v>
          </cell>
        </row>
        <row r="15">
          <cell r="A15">
            <v>43496</v>
          </cell>
          <cell r="C15">
            <v>0</v>
          </cell>
          <cell r="D15">
            <v>0</v>
          </cell>
          <cell r="E15">
            <v>0</v>
          </cell>
          <cell r="F15">
            <v>0</v>
          </cell>
          <cell r="G15">
            <v>0</v>
          </cell>
          <cell r="H15">
            <v>0</v>
          </cell>
          <cell r="I15">
            <v>0</v>
          </cell>
          <cell r="J15">
            <v>0</v>
          </cell>
          <cell r="K15">
            <v>0</v>
          </cell>
          <cell r="L15">
            <v>0</v>
          </cell>
          <cell r="M15">
            <v>0</v>
          </cell>
          <cell r="O15">
            <v>0</v>
          </cell>
        </row>
        <row r="16">
          <cell r="A16">
            <v>43524</v>
          </cell>
          <cell r="C16">
            <v>0</v>
          </cell>
          <cell r="D16">
            <v>0</v>
          </cell>
          <cell r="E16">
            <v>0</v>
          </cell>
          <cell r="F16">
            <v>0</v>
          </cell>
          <cell r="G16">
            <v>0</v>
          </cell>
          <cell r="H16">
            <v>0</v>
          </cell>
          <cell r="I16">
            <v>0</v>
          </cell>
          <cell r="J16">
            <v>0</v>
          </cell>
          <cell r="K16">
            <v>0</v>
          </cell>
          <cell r="L16">
            <v>0</v>
          </cell>
          <cell r="M16">
            <v>0</v>
          </cell>
          <cell r="O16">
            <v>0</v>
          </cell>
        </row>
        <row r="17">
          <cell r="A17">
            <v>43555</v>
          </cell>
          <cell r="C17">
            <v>0</v>
          </cell>
          <cell r="D17">
            <v>0</v>
          </cell>
          <cell r="E17">
            <v>0</v>
          </cell>
          <cell r="F17">
            <v>0</v>
          </cell>
          <cell r="G17">
            <v>0</v>
          </cell>
          <cell r="H17">
            <v>0</v>
          </cell>
          <cell r="I17">
            <v>0</v>
          </cell>
          <cell r="J17">
            <v>0</v>
          </cell>
          <cell r="K17">
            <v>0</v>
          </cell>
          <cell r="L17">
            <v>0</v>
          </cell>
          <cell r="M17">
            <v>0</v>
          </cell>
          <cell r="O17">
            <v>0</v>
          </cell>
        </row>
        <row r="18">
          <cell r="A18">
            <v>43585</v>
          </cell>
          <cell r="C18">
            <v>0</v>
          </cell>
          <cell r="D18">
            <v>0</v>
          </cell>
          <cell r="E18">
            <v>0</v>
          </cell>
          <cell r="F18">
            <v>0</v>
          </cell>
          <cell r="G18">
            <v>0</v>
          </cell>
          <cell r="H18">
            <v>0</v>
          </cell>
          <cell r="I18">
            <v>0</v>
          </cell>
          <cell r="J18">
            <v>0</v>
          </cell>
          <cell r="K18">
            <v>0</v>
          </cell>
          <cell r="L18">
            <v>0</v>
          </cell>
          <cell r="M18">
            <v>0</v>
          </cell>
          <cell r="O18">
            <v>0</v>
          </cell>
        </row>
      </sheetData>
      <sheetData sheetId="2">
        <row r="7">
          <cell r="A7">
            <v>43221</v>
          </cell>
          <cell r="C7">
            <v>4.6736999999999993</v>
          </cell>
          <cell r="D7">
            <v>110.174688</v>
          </cell>
          <cell r="E7">
            <v>0</v>
          </cell>
          <cell r="F7">
            <v>10.28214</v>
          </cell>
          <cell r="G7">
            <v>0</v>
          </cell>
          <cell r="H7">
            <v>322.04908799999993</v>
          </cell>
          <cell r="I7">
            <v>13.989941999999999</v>
          </cell>
          <cell r="J7">
            <v>13.989941999999999</v>
          </cell>
          <cell r="K7">
            <v>111.047112</v>
          </cell>
          <cell r="L7">
            <v>36.953388000000082</v>
          </cell>
        </row>
        <row r="8">
          <cell r="A8">
            <v>43281</v>
          </cell>
          <cell r="C8">
            <v>4.6546500000000002</v>
          </cell>
          <cell r="D8">
            <v>109.725616</v>
          </cell>
          <cell r="E8">
            <v>0</v>
          </cell>
          <cell r="F8">
            <v>10.24023</v>
          </cell>
          <cell r="G8">
            <v>0</v>
          </cell>
          <cell r="H8">
            <v>320.73641599999991</v>
          </cell>
          <cell r="I8">
            <v>13.932919</v>
          </cell>
          <cell r="J8">
            <v>13.932919</v>
          </cell>
          <cell r="K8">
            <v>110.59448399999999</v>
          </cell>
          <cell r="L8">
            <v>36.802766000000084</v>
          </cell>
        </row>
        <row r="9">
          <cell r="A9">
            <v>43312</v>
          </cell>
          <cell r="C9">
            <v>4.8646500000000001</v>
          </cell>
          <cell r="D9">
            <v>114.676016</v>
          </cell>
          <cell r="E9">
            <v>0</v>
          </cell>
          <cell r="F9">
            <v>10.70223</v>
          </cell>
          <cell r="G9">
            <v>0</v>
          </cell>
          <cell r="H9">
            <v>335.20681599999989</v>
          </cell>
          <cell r="I9">
            <v>14.561519000000001</v>
          </cell>
          <cell r="J9">
            <v>14.561519000000001</v>
          </cell>
          <cell r="K9">
            <v>115.584084</v>
          </cell>
          <cell r="L9">
            <v>38.463166000000086</v>
          </cell>
        </row>
        <row r="10">
          <cell r="A10">
            <v>43343</v>
          </cell>
          <cell r="C10">
            <v>5.0623500000000003</v>
          </cell>
          <cell r="D10">
            <v>119.33646400000001</v>
          </cell>
          <cell r="E10">
            <v>0</v>
          </cell>
          <cell r="F10">
            <v>11.137170000000001</v>
          </cell>
          <cell r="G10">
            <v>0</v>
          </cell>
          <cell r="H10">
            <v>348.82966399999992</v>
          </cell>
          <cell r="I10">
            <v>15.153301000000001</v>
          </cell>
          <cell r="J10">
            <v>15.153301000000001</v>
          </cell>
          <cell r="K10">
            <v>120.281436</v>
          </cell>
          <cell r="L10">
            <v>40.026314000000092</v>
          </cell>
        </row>
        <row r="11">
          <cell r="A11">
            <v>43373</v>
          </cell>
          <cell r="C11">
            <v>4.1264250000000002</v>
          </cell>
          <cell r="D11">
            <v>97.273592000000022</v>
          </cell>
          <cell r="E11">
            <v>0</v>
          </cell>
          <cell r="F11">
            <v>9.0781350000000014</v>
          </cell>
          <cell r="G11">
            <v>0</v>
          </cell>
          <cell r="H11">
            <v>284.33819199999988</v>
          </cell>
          <cell r="I11">
            <v>12.351765500000003</v>
          </cell>
          <cell r="J11">
            <v>12.351765500000003</v>
          </cell>
          <cell r="K11">
            <v>98.043858000000014</v>
          </cell>
          <cell r="L11">
            <v>32.626267000000077</v>
          </cell>
        </row>
        <row r="12">
          <cell r="A12">
            <v>43404</v>
          </cell>
          <cell r="C12">
            <v>4.9281750000000004</v>
          </cell>
          <cell r="D12">
            <v>116.17351200000002</v>
          </cell>
          <cell r="E12">
            <v>0</v>
          </cell>
          <cell r="F12">
            <v>10.841985000000001</v>
          </cell>
          <cell r="G12">
            <v>0</v>
          </cell>
          <cell r="H12">
            <v>339.58411199999989</v>
          </cell>
          <cell r="I12">
            <v>14.751670500000001</v>
          </cell>
          <cell r="J12">
            <v>14.751670500000001</v>
          </cell>
          <cell r="K12">
            <v>117.09343800000001</v>
          </cell>
          <cell r="L12">
            <v>38.965437000000087</v>
          </cell>
        </row>
        <row r="13">
          <cell r="A13">
            <v>43434</v>
          </cell>
          <cell r="C13">
            <v>0</v>
          </cell>
          <cell r="D13">
            <v>0</v>
          </cell>
          <cell r="E13">
            <v>0</v>
          </cell>
          <cell r="F13">
            <v>0</v>
          </cell>
          <cell r="G13">
            <v>0</v>
          </cell>
          <cell r="H13">
            <v>0</v>
          </cell>
          <cell r="I13">
            <v>0</v>
          </cell>
          <cell r="J13">
            <v>0</v>
          </cell>
          <cell r="K13">
            <v>0</v>
          </cell>
          <cell r="L13">
            <v>0</v>
          </cell>
        </row>
        <row r="14">
          <cell r="A14">
            <v>43465</v>
          </cell>
          <cell r="C14">
            <v>0</v>
          </cell>
          <cell r="D14">
            <v>0</v>
          </cell>
          <cell r="E14">
            <v>0</v>
          </cell>
          <cell r="F14">
            <v>0</v>
          </cell>
          <cell r="G14">
            <v>0</v>
          </cell>
          <cell r="H14">
            <v>0</v>
          </cell>
          <cell r="I14">
            <v>0</v>
          </cell>
          <cell r="J14">
            <v>0</v>
          </cell>
          <cell r="K14">
            <v>0</v>
          </cell>
          <cell r="L14">
            <v>0</v>
          </cell>
        </row>
        <row r="15">
          <cell r="A15">
            <v>43496</v>
          </cell>
          <cell r="C15">
            <v>0</v>
          </cell>
          <cell r="D15">
            <v>0</v>
          </cell>
          <cell r="E15">
            <v>0</v>
          </cell>
          <cell r="F15">
            <v>0</v>
          </cell>
          <cell r="G15">
            <v>0</v>
          </cell>
          <cell r="H15">
            <v>0</v>
          </cell>
          <cell r="I15">
            <v>0</v>
          </cell>
          <cell r="J15">
            <v>0</v>
          </cell>
          <cell r="K15">
            <v>0</v>
          </cell>
          <cell r="L15">
            <v>0</v>
          </cell>
        </row>
        <row r="16">
          <cell r="A16">
            <v>43524</v>
          </cell>
          <cell r="C16">
            <v>0</v>
          </cell>
          <cell r="D16">
            <v>0</v>
          </cell>
          <cell r="E16">
            <v>0</v>
          </cell>
          <cell r="F16">
            <v>0</v>
          </cell>
          <cell r="G16">
            <v>0</v>
          </cell>
          <cell r="H16">
            <v>0</v>
          </cell>
          <cell r="I16">
            <v>0</v>
          </cell>
          <cell r="J16">
            <v>0</v>
          </cell>
          <cell r="K16">
            <v>0</v>
          </cell>
          <cell r="L16">
            <v>0</v>
          </cell>
        </row>
        <row r="17">
          <cell r="A17">
            <v>43555</v>
          </cell>
          <cell r="C17">
            <v>0</v>
          </cell>
          <cell r="D17">
            <v>0</v>
          </cell>
          <cell r="E17">
            <v>0</v>
          </cell>
          <cell r="F17">
            <v>0</v>
          </cell>
          <cell r="G17">
            <v>0</v>
          </cell>
          <cell r="H17">
            <v>0</v>
          </cell>
          <cell r="I17">
            <v>0</v>
          </cell>
          <cell r="J17">
            <v>0</v>
          </cell>
          <cell r="K17">
            <v>0</v>
          </cell>
          <cell r="L17">
            <v>0</v>
          </cell>
        </row>
        <row r="18">
          <cell r="A18">
            <v>43585</v>
          </cell>
          <cell r="C18">
            <v>0</v>
          </cell>
          <cell r="D18">
            <v>0</v>
          </cell>
          <cell r="E18">
            <v>0</v>
          </cell>
          <cell r="F18">
            <v>0</v>
          </cell>
          <cell r="G18">
            <v>0</v>
          </cell>
          <cell r="H18">
            <v>0</v>
          </cell>
          <cell r="I18">
            <v>0</v>
          </cell>
          <cell r="J18">
            <v>0</v>
          </cell>
          <cell r="K18">
            <v>0</v>
          </cell>
          <cell r="L18">
            <v>0</v>
          </cell>
        </row>
      </sheetData>
      <sheetData sheetId="3">
        <row r="7">
          <cell r="A7">
            <v>43221</v>
          </cell>
          <cell r="C7">
            <v>1082.8499999999999</v>
          </cell>
          <cell r="D7">
            <v>-25.26</v>
          </cell>
          <cell r="E7">
            <v>0</v>
          </cell>
          <cell r="F7">
            <v>90.64</v>
          </cell>
          <cell r="G7">
            <v>0</v>
          </cell>
          <cell r="H7">
            <v>-14.309999999999999</v>
          </cell>
          <cell r="I7">
            <v>100.47</v>
          </cell>
          <cell r="J7">
            <v>100.47</v>
          </cell>
          <cell r="K7">
            <v>43.519999999999996</v>
          </cell>
          <cell r="L7">
            <v>-134.59</v>
          </cell>
        </row>
        <row r="8">
          <cell r="A8">
            <v>43281</v>
          </cell>
          <cell r="C8">
            <v>1119.26</v>
          </cell>
          <cell r="D8">
            <v>-19.13</v>
          </cell>
          <cell r="E8">
            <v>0</v>
          </cell>
          <cell r="F8">
            <v>93.07</v>
          </cell>
          <cell r="G8">
            <v>0</v>
          </cell>
          <cell r="H8">
            <v>2</v>
          </cell>
          <cell r="I8">
            <v>87.96</v>
          </cell>
          <cell r="J8">
            <v>87.96</v>
          </cell>
          <cell r="K8">
            <v>60.11</v>
          </cell>
          <cell r="L8">
            <v>-134.59</v>
          </cell>
        </row>
        <row r="9">
          <cell r="A9">
            <v>43312</v>
          </cell>
          <cell r="C9">
            <v>1065.1300000000001</v>
          </cell>
          <cell r="D9">
            <v>-3.5700000000000003</v>
          </cell>
          <cell r="E9">
            <v>0</v>
          </cell>
          <cell r="F9">
            <v>91.06</v>
          </cell>
          <cell r="G9">
            <v>0</v>
          </cell>
          <cell r="H9">
            <v>4.1900000000000004</v>
          </cell>
          <cell r="I9">
            <v>109.23</v>
          </cell>
          <cell r="J9">
            <v>109.23</v>
          </cell>
          <cell r="K9">
            <v>68.38</v>
          </cell>
          <cell r="L9">
            <v>-134.59</v>
          </cell>
        </row>
        <row r="10">
          <cell r="A10">
            <v>43343</v>
          </cell>
          <cell r="C10">
            <v>1065.1300000000001</v>
          </cell>
          <cell r="D10">
            <v>0.74</v>
          </cell>
          <cell r="E10">
            <v>0</v>
          </cell>
          <cell r="F10">
            <v>61.85</v>
          </cell>
          <cell r="G10">
            <v>0</v>
          </cell>
          <cell r="H10">
            <v>8.42</v>
          </cell>
          <cell r="I10">
            <v>168.5</v>
          </cell>
          <cell r="J10">
            <v>168.5</v>
          </cell>
          <cell r="K10">
            <v>60.64</v>
          </cell>
          <cell r="L10">
            <v>-134.59</v>
          </cell>
        </row>
        <row r="11">
          <cell r="A11">
            <v>43373</v>
          </cell>
          <cell r="C11">
            <v>940.58</v>
          </cell>
          <cell r="D11">
            <v>-14.63</v>
          </cell>
          <cell r="E11">
            <v>0</v>
          </cell>
          <cell r="F11">
            <v>69.650000000000006</v>
          </cell>
          <cell r="G11">
            <v>0</v>
          </cell>
          <cell r="H11">
            <v>26.9</v>
          </cell>
          <cell r="I11">
            <v>78.83</v>
          </cell>
          <cell r="J11">
            <v>78.83</v>
          </cell>
          <cell r="K11">
            <v>63.85</v>
          </cell>
          <cell r="L11">
            <v>-134.59</v>
          </cell>
        </row>
        <row r="12">
          <cell r="A12">
            <v>43404</v>
          </cell>
          <cell r="C12">
            <v>918.23</v>
          </cell>
          <cell r="D12">
            <v>-16.670000000000002</v>
          </cell>
          <cell r="E12">
            <v>0</v>
          </cell>
          <cell r="F12">
            <v>78.180000000000007</v>
          </cell>
          <cell r="G12">
            <v>0</v>
          </cell>
          <cell r="H12">
            <v>25.77</v>
          </cell>
          <cell r="I12">
            <v>75.260000000000005</v>
          </cell>
          <cell r="J12">
            <v>75.260000000000005</v>
          </cell>
          <cell r="K12">
            <v>71.680000000000007</v>
          </cell>
          <cell r="L12">
            <v>-134.59</v>
          </cell>
        </row>
        <row r="13">
          <cell r="A13">
            <v>43434</v>
          </cell>
          <cell r="C13">
            <v>0</v>
          </cell>
          <cell r="D13">
            <v>0</v>
          </cell>
          <cell r="E13">
            <v>0</v>
          </cell>
          <cell r="F13">
            <v>0</v>
          </cell>
          <cell r="G13">
            <v>0</v>
          </cell>
          <cell r="H13">
            <v>0</v>
          </cell>
          <cell r="I13">
            <v>0</v>
          </cell>
          <cell r="J13">
            <v>0</v>
          </cell>
          <cell r="K13">
            <v>0</v>
          </cell>
          <cell r="L13">
            <v>0</v>
          </cell>
        </row>
        <row r="14">
          <cell r="A14">
            <v>43465</v>
          </cell>
          <cell r="C14">
            <v>0</v>
          </cell>
          <cell r="D14">
            <v>0</v>
          </cell>
          <cell r="E14">
            <v>0</v>
          </cell>
          <cell r="F14">
            <v>0</v>
          </cell>
          <cell r="G14">
            <v>0</v>
          </cell>
          <cell r="H14">
            <v>0</v>
          </cell>
          <cell r="I14">
            <v>0</v>
          </cell>
          <cell r="J14">
            <v>0</v>
          </cell>
          <cell r="K14">
            <v>0</v>
          </cell>
          <cell r="L14">
            <v>0</v>
          </cell>
        </row>
        <row r="15">
          <cell r="A15">
            <v>43496</v>
          </cell>
          <cell r="C15">
            <v>0</v>
          </cell>
          <cell r="D15">
            <v>0</v>
          </cell>
          <cell r="E15">
            <v>0</v>
          </cell>
          <cell r="F15">
            <v>0</v>
          </cell>
          <cell r="G15">
            <v>0</v>
          </cell>
          <cell r="H15">
            <v>0</v>
          </cell>
          <cell r="I15">
            <v>0</v>
          </cell>
          <cell r="J15">
            <v>0</v>
          </cell>
          <cell r="K15">
            <v>0</v>
          </cell>
          <cell r="L15">
            <v>0</v>
          </cell>
        </row>
        <row r="16">
          <cell r="A16">
            <v>43524</v>
          </cell>
          <cell r="C16">
            <v>0</v>
          </cell>
          <cell r="D16">
            <v>0</v>
          </cell>
          <cell r="E16">
            <v>0</v>
          </cell>
          <cell r="F16">
            <v>0</v>
          </cell>
          <cell r="G16">
            <v>0</v>
          </cell>
          <cell r="H16">
            <v>0</v>
          </cell>
          <cell r="I16">
            <v>0</v>
          </cell>
          <cell r="J16">
            <v>0</v>
          </cell>
          <cell r="K16">
            <v>0</v>
          </cell>
          <cell r="L16">
            <v>0</v>
          </cell>
        </row>
        <row r="17">
          <cell r="A17">
            <v>43555</v>
          </cell>
          <cell r="C17">
            <v>0</v>
          </cell>
          <cell r="D17">
            <v>0</v>
          </cell>
          <cell r="E17">
            <v>0</v>
          </cell>
          <cell r="F17">
            <v>0</v>
          </cell>
          <cell r="G17">
            <v>0</v>
          </cell>
          <cell r="H17">
            <v>0</v>
          </cell>
          <cell r="I17">
            <v>0</v>
          </cell>
          <cell r="J17">
            <v>0</v>
          </cell>
          <cell r="K17">
            <v>0</v>
          </cell>
          <cell r="L17">
            <v>0</v>
          </cell>
        </row>
        <row r="18">
          <cell r="A18">
            <v>43585</v>
          </cell>
          <cell r="C18">
            <v>0</v>
          </cell>
          <cell r="D18">
            <v>0</v>
          </cell>
          <cell r="E18">
            <v>0</v>
          </cell>
          <cell r="F18">
            <v>0</v>
          </cell>
          <cell r="G18">
            <v>0</v>
          </cell>
          <cell r="H18">
            <v>0</v>
          </cell>
          <cell r="I18">
            <v>0</v>
          </cell>
          <cell r="J18">
            <v>0</v>
          </cell>
          <cell r="K18">
            <v>0</v>
          </cell>
          <cell r="L18">
            <v>0</v>
          </cell>
        </row>
      </sheetData>
      <sheetData sheetId="4">
        <row r="6">
          <cell r="C6">
            <v>43221</v>
          </cell>
          <cell r="D6">
            <v>43281</v>
          </cell>
          <cell r="E6">
            <v>43312</v>
          </cell>
          <cell r="F6">
            <v>43343</v>
          </cell>
          <cell r="G6">
            <v>43373</v>
          </cell>
          <cell r="H6">
            <v>43404</v>
          </cell>
          <cell r="I6">
            <v>43434</v>
          </cell>
          <cell r="J6">
            <v>43465</v>
          </cell>
          <cell r="K6">
            <v>43496</v>
          </cell>
          <cell r="L6">
            <v>43524</v>
          </cell>
          <cell r="M6">
            <v>43555</v>
          </cell>
          <cell r="N6">
            <v>43585</v>
          </cell>
        </row>
        <row r="7">
          <cell r="C7">
            <v>623.16</v>
          </cell>
          <cell r="D7">
            <v>620.62</v>
          </cell>
          <cell r="E7">
            <v>648.62</v>
          </cell>
          <cell r="F7">
            <v>674.98</v>
          </cell>
          <cell r="G7">
            <v>550.19000000000005</v>
          </cell>
          <cell r="H7">
            <v>657.09</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0">
          <cell r="C10">
            <v>623.16</v>
          </cell>
          <cell r="D10">
            <v>620.62</v>
          </cell>
          <cell r="E10">
            <v>648.62</v>
          </cell>
          <cell r="F10">
            <v>674.98</v>
          </cell>
          <cell r="G10">
            <v>550.19000000000005</v>
          </cell>
          <cell r="H10">
            <v>657.09</v>
          </cell>
          <cell r="I10">
            <v>0</v>
          </cell>
          <cell r="J10">
            <v>0</v>
          </cell>
          <cell r="K10">
            <v>0</v>
          </cell>
          <cell r="L10">
            <v>0</v>
          </cell>
          <cell r="M10">
            <v>0</v>
          </cell>
          <cell r="N10">
            <v>0</v>
          </cell>
        </row>
        <row r="13">
          <cell r="C13">
            <v>0</v>
          </cell>
          <cell r="D13">
            <v>0</v>
          </cell>
          <cell r="E13">
            <v>0</v>
          </cell>
          <cell r="F13">
            <v>0</v>
          </cell>
          <cell r="G13">
            <v>0</v>
          </cell>
          <cell r="H13">
            <v>0</v>
          </cell>
          <cell r="I13">
            <v>0</v>
          </cell>
          <cell r="J13">
            <v>0</v>
          </cell>
          <cell r="K13">
            <v>0</v>
          </cell>
          <cell r="L13">
            <v>0</v>
          </cell>
          <cell r="M13">
            <v>0</v>
          </cell>
          <cell r="N13">
            <v>0</v>
          </cell>
        </row>
        <row r="14">
          <cell r="C14">
            <v>0.1782</v>
          </cell>
          <cell r="D14">
            <v>0.1782</v>
          </cell>
          <cell r="E14">
            <v>0.1782</v>
          </cell>
          <cell r="F14">
            <v>0.1782</v>
          </cell>
          <cell r="G14">
            <v>0.1782</v>
          </cell>
          <cell r="H14">
            <v>0.1782</v>
          </cell>
          <cell r="I14">
            <v>0.1782</v>
          </cell>
          <cell r="J14">
            <v>0.1782</v>
          </cell>
          <cell r="K14">
            <v>0.1782</v>
          </cell>
          <cell r="L14">
            <v>0.1782</v>
          </cell>
          <cell r="M14">
            <v>0.1782</v>
          </cell>
          <cell r="N14">
            <v>0.1782</v>
          </cell>
        </row>
        <row r="15">
          <cell r="C15">
            <v>0</v>
          </cell>
          <cell r="D15">
            <v>0</v>
          </cell>
          <cell r="E15">
            <v>0</v>
          </cell>
          <cell r="F15">
            <v>0</v>
          </cell>
          <cell r="G15">
            <v>0</v>
          </cell>
          <cell r="H15">
            <v>0</v>
          </cell>
          <cell r="I15">
            <v>0</v>
          </cell>
          <cell r="J15">
            <v>0</v>
          </cell>
          <cell r="K15">
            <v>0</v>
          </cell>
          <cell r="L15">
            <v>0</v>
          </cell>
          <cell r="M15">
            <v>0</v>
          </cell>
          <cell r="N15">
            <v>0</v>
          </cell>
        </row>
        <row r="16">
          <cell r="C16">
            <v>1.6500000000000001E-2</v>
          </cell>
          <cell r="D16">
            <v>1.6500000000000001E-2</v>
          </cell>
          <cell r="E16">
            <v>1.6500000000000001E-2</v>
          </cell>
          <cell r="F16">
            <v>1.6500000000000001E-2</v>
          </cell>
          <cell r="G16">
            <v>1.6500000000000001E-2</v>
          </cell>
          <cell r="H16">
            <v>1.6500000000000001E-2</v>
          </cell>
          <cell r="I16">
            <v>1.6500000000000001E-2</v>
          </cell>
          <cell r="J16">
            <v>1.6500000000000001E-2</v>
          </cell>
          <cell r="K16">
            <v>1.6500000000000001E-2</v>
          </cell>
          <cell r="L16">
            <v>1.6500000000000001E-2</v>
          </cell>
          <cell r="M16">
            <v>1.6500000000000001E-2</v>
          </cell>
          <cell r="N16">
            <v>1.6500000000000001E-2</v>
          </cell>
        </row>
        <row r="17">
          <cell r="C17">
            <v>4.4900000000000002E-2</v>
          </cell>
          <cell r="D17">
            <v>4.4900000000000002E-2</v>
          </cell>
          <cell r="E17">
            <v>4.4900000000000002E-2</v>
          </cell>
          <cell r="F17">
            <v>4.4900000000000002E-2</v>
          </cell>
          <cell r="G17">
            <v>4.4900000000000002E-2</v>
          </cell>
          <cell r="H17">
            <v>4.4900000000000002E-2</v>
          </cell>
          <cell r="I17">
            <v>4.4900000000000002E-2</v>
          </cell>
          <cell r="J17">
            <v>4.4900000000000002E-2</v>
          </cell>
          <cell r="K17">
            <v>4.4900000000000002E-2</v>
          </cell>
          <cell r="L17">
            <v>4.4900000000000002E-2</v>
          </cell>
          <cell r="M17">
            <v>4.4900000000000002E-2</v>
          </cell>
          <cell r="N17">
            <v>4.4900000000000002E-2</v>
          </cell>
        </row>
        <row r="18">
          <cell r="C18">
            <v>7.4999999999999997E-3</v>
          </cell>
          <cell r="D18">
            <v>7.4999999999999997E-3</v>
          </cell>
          <cell r="E18">
            <v>7.4999999999999997E-3</v>
          </cell>
          <cell r="F18">
            <v>7.4999999999999997E-3</v>
          </cell>
          <cell r="G18">
            <v>7.4999999999999997E-3</v>
          </cell>
          <cell r="H18">
            <v>7.4999999999999997E-3</v>
          </cell>
          <cell r="I18">
            <v>7.4999999999999997E-3</v>
          </cell>
          <cell r="J18">
            <v>7.4999999999999997E-3</v>
          </cell>
          <cell r="K18">
            <v>7.4999999999999997E-3</v>
          </cell>
          <cell r="L18">
            <v>7.4999999999999997E-3</v>
          </cell>
          <cell r="M18">
            <v>7.4999999999999997E-3</v>
          </cell>
          <cell r="N18">
            <v>7.4999999999999997E-3</v>
          </cell>
        </row>
        <row r="19">
          <cell r="C19">
            <v>0</v>
          </cell>
          <cell r="D19">
            <v>0</v>
          </cell>
          <cell r="E19">
            <v>0</v>
          </cell>
          <cell r="F19">
            <v>0</v>
          </cell>
          <cell r="G19">
            <v>0</v>
          </cell>
          <cell r="H19">
            <v>0</v>
          </cell>
          <cell r="I19">
            <v>0</v>
          </cell>
          <cell r="J19">
            <v>0</v>
          </cell>
          <cell r="K19">
            <v>0</v>
          </cell>
          <cell r="L19">
            <v>0</v>
          </cell>
          <cell r="M19">
            <v>0</v>
          </cell>
          <cell r="N19">
            <v>0</v>
          </cell>
        </row>
        <row r="20">
          <cell r="C20">
            <v>0.17680000000000001</v>
          </cell>
          <cell r="D20">
            <v>0.17680000000000001</v>
          </cell>
          <cell r="E20">
            <v>0.17680000000000001</v>
          </cell>
          <cell r="F20">
            <v>0.17680000000000001</v>
          </cell>
          <cell r="G20">
            <v>0.17680000000000001</v>
          </cell>
          <cell r="H20">
            <v>0.17680000000000001</v>
          </cell>
          <cell r="I20">
            <v>0.17680000000000001</v>
          </cell>
          <cell r="J20">
            <v>0.17680000000000001</v>
          </cell>
          <cell r="K20">
            <v>0.17680000000000001</v>
          </cell>
          <cell r="L20">
            <v>0.17680000000000001</v>
          </cell>
          <cell r="M20">
            <v>0.17680000000000001</v>
          </cell>
          <cell r="N20">
            <v>0.17680000000000001</v>
          </cell>
        </row>
        <row r="21">
          <cell r="C21">
            <v>0</v>
          </cell>
          <cell r="D21">
            <v>0</v>
          </cell>
          <cell r="E21">
            <v>0</v>
          </cell>
          <cell r="F21">
            <v>0</v>
          </cell>
          <cell r="G21">
            <v>0</v>
          </cell>
          <cell r="H21">
            <v>0</v>
          </cell>
          <cell r="I21">
            <v>0</v>
          </cell>
          <cell r="J21">
            <v>0</v>
          </cell>
          <cell r="K21">
            <v>0</v>
          </cell>
          <cell r="L21">
            <v>0</v>
          </cell>
          <cell r="M21">
            <v>0</v>
          </cell>
          <cell r="N21">
            <v>0</v>
          </cell>
        </row>
        <row r="22">
          <cell r="C22">
            <v>5.930000000000013E-2</v>
          </cell>
          <cell r="D22">
            <v>5.930000000000013E-2</v>
          </cell>
          <cell r="E22">
            <v>5.930000000000013E-2</v>
          </cell>
          <cell r="F22">
            <v>5.930000000000013E-2</v>
          </cell>
          <cell r="G22">
            <v>5.930000000000013E-2</v>
          </cell>
          <cell r="H22">
            <v>5.930000000000013E-2</v>
          </cell>
          <cell r="I22">
            <v>5.930000000000013E-2</v>
          </cell>
          <cell r="J22">
            <v>5.930000000000013E-2</v>
          </cell>
          <cell r="K22">
            <v>5.930000000000013E-2</v>
          </cell>
          <cell r="L22">
            <v>5.930000000000013E-2</v>
          </cell>
          <cell r="M22">
            <v>5.930000000000013E-2</v>
          </cell>
          <cell r="N22">
            <v>5.930000000000013E-2</v>
          </cell>
        </row>
        <row r="23">
          <cell r="C23">
            <v>0.51680000000000004</v>
          </cell>
          <cell r="D23">
            <v>0.51680000000000004</v>
          </cell>
          <cell r="E23">
            <v>0.51680000000000004</v>
          </cell>
          <cell r="F23">
            <v>0.51680000000000004</v>
          </cell>
          <cell r="G23">
            <v>0.51680000000000004</v>
          </cell>
          <cell r="H23">
            <v>0.51680000000000004</v>
          </cell>
          <cell r="I23">
            <v>0.51680000000000004</v>
          </cell>
          <cell r="J23">
            <v>0.51680000000000004</v>
          </cell>
          <cell r="K23">
            <v>0.51680000000000004</v>
          </cell>
          <cell r="L23">
            <v>0.51680000000000004</v>
          </cell>
          <cell r="M23">
            <v>0.51680000000000004</v>
          </cell>
          <cell r="N23">
            <v>0.51680000000000004</v>
          </cell>
        </row>
        <row r="24">
          <cell r="C24">
            <v>1</v>
          </cell>
          <cell r="D24">
            <v>1</v>
          </cell>
          <cell r="E24">
            <v>1</v>
          </cell>
          <cell r="F24">
            <v>1</v>
          </cell>
          <cell r="G24">
            <v>1</v>
          </cell>
          <cell r="H24">
            <v>1</v>
          </cell>
          <cell r="I24">
            <v>1</v>
          </cell>
          <cell r="J24">
            <v>1</v>
          </cell>
          <cell r="K24">
            <v>1</v>
          </cell>
          <cell r="L24">
            <v>1</v>
          </cell>
          <cell r="M24">
            <v>1</v>
          </cell>
          <cell r="N24">
            <v>1</v>
          </cell>
        </row>
        <row r="27">
          <cell r="C27">
            <v>0</v>
          </cell>
          <cell r="D27">
            <v>0</v>
          </cell>
          <cell r="E27">
            <v>0</v>
          </cell>
          <cell r="F27">
            <v>0</v>
          </cell>
          <cell r="G27">
            <v>0</v>
          </cell>
          <cell r="H27">
            <v>0</v>
          </cell>
          <cell r="I27">
            <v>0</v>
          </cell>
          <cell r="J27">
            <v>0</v>
          </cell>
          <cell r="K27">
            <v>0</v>
          </cell>
          <cell r="L27">
            <v>0</v>
          </cell>
          <cell r="M27">
            <v>0</v>
          </cell>
          <cell r="N27">
            <v>0</v>
          </cell>
        </row>
        <row r="28">
          <cell r="C28">
            <v>111.047112</v>
          </cell>
          <cell r="D28">
            <v>110.59448399999999</v>
          </cell>
          <cell r="E28">
            <v>115.584084</v>
          </cell>
          <cell r="F28">
            <v>120.281436</v>
          </cell>
          <cell r="G28">
            <v>98.043858000000014</v>
          </cell>
          <cell r="H28">
            <v>117.09343800000001</v>
          </cell>
          <cell r="I28">
            <v>0</v>
          </cell>
          <cell r="J28">
            <v>0</v>
          </cell>
          <cell r="K28">
            <v>0</v>
          </cell>
          <cell r="L28">
            <v>0</v>
          </cell>
          <cell r="M28">
            <v>0</v>
          </cell>
          <cell r="N28">
            <v>0</v>
          </cell>
        </row>
        <row r="29">
          <cell r="C29">
            <v>0</v>
          </cell>
          <cell r="D29">
            <v>0</v>
          </cell>
          <cell r="E29">
            <v>0</v>
          </cell>
          <cell r="F29">
            <v>0</v>
          </cell>
          <cell r="G29">
            <v>0</v>
          </cell>
          <cell r="H29">
            <v>0</v>
          </cell>
          <cell r="I29">
            <v>0</v>
          </cell>
          <cell r="J29">
            <v>0</v>
          </cell>
          <cell r="K29">
            <v>0</v>
          </cell>
          <cell r="L29">
            <v>0</v>
          </cell>
          <cell r="M29">
            <v>0</v>
          </cell>
          <cell r="N29">
            <v>0</v>
          </cell>
        </row>
        <row r="30">
          <cell r="C30">
            <v>10.28214</v>
          </cell>
          <cell r="D30">
            <v>10.24023</v>
          </cell>
          <cell r="E30">
            <v>10.70223</v>
          </cell>
          <cell r="F30">
            <v>11.137170000000001</v>
          </cell>
          <cell r="G30">
            <v>9.0781350000000014</v>
          </cell>
          <cell r="H30">
            <v>10.841985000000001</v>
          </cell>
          <cell r="I30">
            <v>0</v>
          </cell>
          <cell r="J30">
            <v>0</v>
          </cell>
          <cell r="K30">
            <v>0</v>
          </cell>
          <cell r="L30">
            <v>0</v>
          </cell>
          <cell r="M30">
            <v>0</v>
          </cell>
          <cell r="N30">
            <v>0</v>
          </cell>
        </row>
        <row r="31">
          <cell r="C31">
            <v>27.979883999999998</v>
          </cell>
          <cell r="D31">
            <v>27.865838</v>
          </cell>
          <cell r="E31">
            <v>29.123038000000001</v>
          </cell>
          <cell r="F31">
            <v>30.306602000000002</v>
          </cell>
          <cell r="G31">
            <v>24.703531000000005</v>
          </cell>
          <cell r="H31">
            <v>29.503341000000002</v>
          </cell>
          <cell r="I31">
            <v>0</v>
          </cell>
          <cell r="J31">
            <v>0</v>
          </cell>
          <cell r="K31">
            <v>0</v>
          </cell>
          <cell r="L31">
            <v>0</v>
          </cell>
          <cell r="M31">
            <v>0</v>
          </cell>
          <cell r="N31">
            <v>0</v>
          </cell>
        </row>
        <row r="32">
          <cell r="C32">
            <v>4.6736999999999993</v>
          </cell>
          <cell r="D32">
            <v>4.6546500000000002</v>
          </cell>
          <cell r="E32">
            <v>4.8646500000000001</v>
          </cell>
          <cell r="F32">
            <v>5.0623500000000003</v>
          </cell>
          <cell r="G32">
            <v>4.1264250000000002</v>
          </cell>
          <cell r="H32">
            <v>4.9281750000000004</v>
          </cell>
          <cell r="I32">
            <v>0</v>
          </cell>
          <cell r="J32">
            <v>0</v>
          </cell>
          <cell r="K32">
            <v>0</v>
          </cell>
          <cell r="L32">
            <v>0</v>
          </cell>
          <cell r="M32">
            <v>0</v>
          </cell>
          <cell r="N32">
            <v>0</v>
          </cell>
        </row>
        <row r="33">
          <cell r="C33">
            <v>0</v>
          </cell>
          <cell r="D33">
            <v>0</v>
          </cell>
          <cell r="E33">
            <v>0</v>
          </cell>
          <cell r="F33">
            <v>0</v>
          </cell>
          <cell r="G33">
            <v>0</v>
          </cell>
          <cell r="H33">
            <v>0</v>
          </cell>
          <cell r="I33">
            <v>0</v>
          </cell>
          <cell r="J33">
            <v>0</v>
          </cell>
          <cell r="K33">
            <v>0</v>
          </cell>
          <cell r="L33">
            <v>0</v>
          </cell>
          <cell r="M33">
            <v>0</v>
          </cell>
          <cell r="N33">
            <v>0</v>
          </cell>
        </row>
        <row r="34">
          <cell r="C34">
            <v>110.174688</v>
          </cell>
          <cell r="D34">
            <v>109.725616</v>
          </cell>
          <cell r="E34">
            <v>114.676016</v>
          </cell>
          <cell r="F34">
            <v>119.33646400000001</v>
          </cell>
          <cell r="G34">
            <v>97.273592000000022</v>
          </cell>
          <cell r="H34">
            <v>116.17351200000002</v>
          </cell>
          <cell r="I34">
            <v>0</v>
          </cell>
          <cell r="J34">
            <v>0</v>
          </cell>
          <cell r="K34">
            <v>0</v>
          </cell>
          <cell r="L34">
            <v>0</v>
          </cell>
          <cell r="M34">
            <v>0</v>
          </cell>
          <cell r="N34">
            <v>0</v>
          </cell>
        </row>
        <row r="35">
          <cell r="C35">
            <v>0</v>
          </cell>
          <cell r="D35">
            <v>0</v>
          </cell>
          <cell r="E35">
            <v>0</v>
          </cell>
          <cell r="F35">
            <v>0</v>
          </cell>
          <cell r="G35">
            <v>0</v>
          </cell>
          <cell r="H35">
            <v>0</v>
          </cell>
          <cell r="I35">
            <v>0</v>
          </cell>
          <cell r="J35">
            <v>0</v>
          </cell>
          <cell r="K35">
            <v>0</v>
          </cell>
          <cell r="L35">
            <v>0</v>
          </cell>
          <cell r="M35">
            <v>0</v>
          </cell>
          <cell r="N35">
            <v>0</v>
          </cell>
        </row>
        <row r="36">
          <cell r="C36">
            <v>36.953388000000082</v>
          </cell>
          <cell r="D36">
            <v>36.802766000000084</v>
          </cell>
          <cell r="E36">
            <v>38.463166000000086</v>
          </cell>
          <cell r="F36">
            <v>40.026314000000092</v>
          </cell>
          <cell r="G36">
            <v>32.626267000000077</v>
          </cell>
          <cell r="H36">
            <v>38.965437000000087</v>
          </cell>
          <cell r="I36">
            <v>0</v>
          </cell>
          <cell r="J36">
            <v>0</v>
          </cell>
          <cell r="K36">
            <v>0</v>
          </cell>
          <cell r="L36">
            <v>0</v>
          </cell>
          <cell r="M36">
            <v>0</v>
          </cell>
          <cell r="N36">
            <v>0</v>
          </cell>
        </row>
        <row r="37">
          <cell r="C37">
            <v>322.04908799999998</v>
          </cell>
          <cell r="D37">
            <v>320.73641600000002</v>
          </cell>
          <cell r="E37">
            <v>335.206816</v>
          </cell>
          <cell r="F37">
            <v>348.82966400000004</v>
          </cell>
          <cell r="G37">
            <v>284.33819200000005</v>
          </cell>
          <cell r="H37">
            <v>339.58411200000006</v>
          </cell>
          <cell r="I37">
            <v>0</v>
          </cell>
          <cell r="J37">
            <v>0</v>
          </cell>
          <cell r="K37">
            <v>0</v>
          </cell>
          <cell r="L37">
            <v>0</v>
          </cell>
          <cell r="M37">
            <v>0</v>
          </cell>
          <cell r="N37">
            <v>0</v>
          </cell>
        </row>
        <row r="38">
          <cell r="C38">
            <v>623.16000000000008</v>
          </cell>
          <cell r="D38">
            <v>620.62000000000012</v>
          </cell>
          <cell r="E38">
            <v>648.62000000000012</v>
          </cell>
          <cell r="F38">
            <v>674.98000000000013</v>
          </cell>
          <cell r="G38">
            <v>550.19000000000028</v>
          </cell>
          <cell r="H38">
            <v>657.09000000000015</v>
          </cell>
          <cell r="I38">
            <v>0</v>
          </cell>
          <cell r="J38">
            <v>0</v>
          </cell>
          <cell r="K38">
            <v>0</v>
          </cell>
          <cell r="L38">
            <v>0</v>
          </cell>
          <cell r="M38">
            <v>0</v>
          </cell>
          <cell r="N38">
            <v>0</v>
          </cell>
        </row>
        <row r="41">
          <cell r="C41">
            <v>1</v>
          </cell>
          <cell r="D41">
            <v>1</v>
          </cell>
          <cell r="E41">
            <v>1</v>
          </cell>
          <cell r="F41">
            <v>1</v>
          </cell>
          <cell r="G41">
            <v>1</v>
          </cell>
          <cell r="H41">
            <v>1</v>
          </cell>
          <cell r="I41">
            <v>1</v>
          </cell>
          <cell r="J41">
            <v>1</v>
          </cell>
          <cell r="K41">
            <v>1</v>
          </cell>
          <cell r="L41">
            <v>1</v>
          </cell>
          <cell r="M41">
            <v>1</v>
          </cell>
          <cell r="N41">
            <v>1</v>
          </cell>
        </row>
        <row r="42">
          <cell r="C42">
            <v>1</v>
          </cell>
          <cell r="D42">
            <v>1</v>
          </cell>
          <cell r="E42">
            <v>1</v>
          </cell>
          <cell r="F42">
            <v>1</v>
          </cell>
          <cell r="G42">
            <v>1</v>
          </cell>
          <cell r="H42">
            <v>1</v>
          </cell>
          <cell r="I42">
            <v>1</v>
          </cell>
          <cell r="J42">
            <v>1</v>
          </cell>
          <cell r="K42">
            <v>1</v>
          </cell>
          <cell r="L42">
            <v>1</v>
          </cell>
          <cell r="M42">
            <v>1</v>
          </cell>
          <cell r="N42">
            <v>1</v>
          </cell>
        </row>
        <row r="43">
          <cell r="C43">
            <v>1</v>
          </cell>
          <cell r="D43">
            <v>1</v>
          </cell>
          <cell r="E43">
            <v>1</v>
          </cell>
          <cell r="F43">
            <v>1</v>
          </cell>
          <cell r="G43">
            <v>1</v>
          </cell>
          <cell r="H43">
            <v>1</v>
          </cell>
          <cell r="I43">
            <v>1</v>
          </cell>
          <cell r="J43">
            <v>1</v>
          </cell>
          <cell r="K43">
            <v>1</v>
          </cell>
          <cell r="L43">
            <v>1</v>
          </cell>
          <cell r="M43">
            <v>1</v>
          </cell>
          <cell r="N43">
            <v>1</v>
          </cell>
        </row>
        <row r="44">
          <cell r="C44">
            <v>1</v>
          </cell>
          <cell r="D44">
            <v>1</v>
          </cell>
          <cell r="E44">
            <v>1</v>
          </cell>
          <cell r="F44">
            <v>1</v>
          </cell>
          <cell r="G44">
            <v>1</v>
          </cell>
          <cell r="H44">
            <v>1</v>
          </cell>
          <cell r="I44">
            <v>1</v>
          </cell>
          <cell r="J44">
            <v>1</v>
          </cell>
          <cell r="K44">
            <v>1</v>
          </cell>
          <cell r="L44">
            <v>1</v>
          </cell>
          <cell r="M44">
            <v>1</v>
          </cell>
          <cell r="N44">
            <v>1</v>
          </cell>
        </row>
        <row r="45">
          <cell r="C45">
            <v>1</v>
          </cell>
          <cell r="D45">
            <v>1</v>
          </cell>
          <cell r="E45">
            <v>1</v>
          </cell>
          <cell r="F45">
            <v>1</v>
          </cell>
          <cell r="G45">
            <v>1</v>
          </cell>
          <cell r="H45">
            <v>1</v>
          </cell>
          <cell r="I45">
            <v>1</v>
          </cell>
          <cell r="J45">
            <v>1</v>
          </cell>
          <cell r="K45">
            <v>1</v>
          </cell>
          <cell r="L45">
            <v>1</v>
          </cell>
          <cell r="M45">
            <v>1</v>
          </cell>
          <cell r="N45">
            <v>1</v>
          </cell>
        </row>
        <row r="46">
          <cell r="C46">
            <v>1</v>
          </cell>
          <cell r="D46">
            <v>1</v>
          </cell>
          <cell r="E46">
            <v>1</v>
          </cell>
          <cell r="F46">
            <v>1</v>
          </cell>
          <cell r="G46">
            <v>1</v>
          </cell>
          <cell r="H46">
            <v>1</v>
          </cell>
          <cell r="I46">
            <v>1</v>
          </cell>
          <cell r="J46">
            <v>1</v>
          </cell>
          <cell r="K46">
            <v>1</v>
          </cell>
          <cell r="L46">
            <v>1</v>
          </cell>
          <cell r="M46">
            <v>1</v>
          </cell>
          <cell r="N46">
            <v>1</v>
          </cell>
        </row>
        <row r="47">
          <cell r="C47">
            <v>1</v>
          </cell>
          <cell r="D47">
            <v>1</v>
          </cell>
          <cell r="E47">
            <v>1</v>
          </cell>
          <cell r="F47">
            <v>1</v>
          </cell>
          <cell r="G47">
            <v>1</v>
          </cell>
          <cell r="H47">
            <v>1</v>
          </cell>
          <cell r="I47">
            <v>1</v>
          </cell>
          <cell r="J47">
            <v>1</v>
          </cell>
          <cell r="K47">
            <v>1</v>
          </cell>
          <cell r="L47">
            <v>1</v>
          </cell>
          <cell r="M47">
            <v>1</v>
          </cell>
          <cell r="N47">
            <v>1</v>
          </cell>
        </row>
        <row r="48">
          <cell r="C48">
            <v>1</v>
          </cell>
          <cell r="D48">
            <v>1</v>
          </cell>
          <cell r="E48">
            <v>1</v>
          </cell>
          <cell r="F48">
            <v>1</v>
          </cell>
          <cell r="G48">
            <v>1</v>
          </cell>
          <cell r="H48">
            <v>1</v>
          </cell>
          <cell r="I48">
            <v>1</v>
          </cell>
          <cell r="J48">
            <v>1</v>
          </cell>
          <cell r="K48">
            <v>1</v>
          </cell>
          <cell r="L48">
            <v>1</v>
          </cell>
          <cell r="M48">
            <v>1</v>
          </cell>
          <cell r="N48">
            <v>1</v>
          </cell>
        </row>
        <row r="49">
          <cell r="C49">
            <v>1</v>
          </cell>
          <cell r="D49">
            <v>1</v>
          </cell>
          <cell r="E49">
            <v>1</v>
          </cell>
          <cell r="F49">
            <v>1</v>
          </cell>
          <cell r="G49">
            <v>1</v>
          </cell>
          <cell r="H49">
            <v>1</v>
          </cell>
          <cell r="I49">
            <v>1</v>
          </cell>
          <cell r="J49">
            <v>1</v>
          </cell>
          <cell r="K49">
            <v>1</v>
          </cell>
          <cell r="L49">
            <v>1</v>
          </cell>
          <cell r="M49">
            <v>1</v>
          </cell>
          <cell r="N49">
            <v>1</v>
          </cell>
        </row>
        <row r="50">
          <cell r="C50">
            <v>1</v>
          </cell>
          <cell r="D50">
            <v>1</v>
          </cell>
          <cell r="E50">
            <v>1</v>
          </cell>
          <cell r="F50">
            <v>1</v>
          </cell>
          <cell r="G50">
            <v>1</v>
          </cell>
          <cell r="H50">
            <v>1</v>
          </cell>
          <cell r="I50">
            <v>1</v>
          </cell>
          <cell r="J50">
            <v>1</v>
          </cell>
          <cell r="K50">
            <v>1</v>
          </cell>
          <cell r="L50">
            <v>1</v>
          </cell>
          <cell r="M50">
            <v>1</v>
          </cell>
          <cell r="N50">
            <v>1</v>
          </cell>
        </row>
        <row r="52">
          <cell r="C52">
            <v>0.99999999999999978</v>
          </cell>
          <cell r="D52">
            <v>1</v>
          </cell>
          <cell r="E52">
            <v>1</v>
          </cell>
          <cell r="F52">
            <v>1</v>
          </cell>
          <cell r="G52">
            <v>1</v>
          </cell>
          <cell r="H52">
            <v>1</v>
          </cell>
          <cell r="I52">
            <v>1</v>
          </cell>
          <cell r="J52">
            <v>1</v>
          </cell>
          <cell r="K52">
            <v>1</v>
          </cell>
          <cell r="L52">
            <v>1</v>
          </cell>
          <cell r="M52">
            <v>1</v>
          </cell>
          <cell r="N52">
            <v>1</v>
          </cell>
        </row>
        <row r="55">
          <cell r="C55">
            <v>0</v>
          </cell>
          <cell r="D55">
            <v>0</v>
          </cell>
          <cell r="E55">
            <v>0</v>
          </cell>
          <cell r="F55">
            <v>0</v>
          </cell>
          <cell r="G55">
            <v>0</v>
          </cell>
          <cell r="H55">
            <v>0</v>
          </cell>
          <cell r="I55">
            <v>0</v>
          </cell>
          <cell r="J55">
            <v>0</v>
          </cell>
          <cell r="K55">
            <v>0</v>
          </cell>
          <cell r="L55">
            <v>0</v>
          </cell>
          <cell r="M55">
            <v>0</v>
          </cell>
          <cell r="N55">
            <v>0</v>
          </cell>
        </row>
        <row r="56">
          <cell r="C56">
            <v>111.047112</v>
          </cell>
          <cell r="D56">
            <v>110.59448399999999</v>
          </cell>
          <cell r="E56">
            <v>115.584084</v>
          </cell>
          <cell r="F56">
            <v>120.281436</v>
          </cell>
          <cell r="G56">
            <v>98.043858000000014</v>
          </cell>
          <cell r="H56">
            <v>117.09343800000001</v>
          </cell>
          <cell r="I56">
            <v>0</v>
          </cell>
          <cell r="J56">
            <v>0</v>
          </cell>
          <cell r="K56">
            <v>0</v>
          </cell>
          <cell r="L56">
            <v>0</v>
          </cell>
          <cell r="M56">
            <v>0</v>
          </cell>
          <cell r="N56">
            <v>0</v>
          </cell>
        </row>
        <row r="57">
          <cell r="C57">
            <v>0</v>
          </cell>
          <cell r="D57">
            <v>0</v>
          </cell>
          <cell r="E57">
            <v>0</v>
          </cell>
          <cell r="F57">
            <v>0</v>
          </cell>
          <cell r="G57">
            <v>0</v>
          </cell>
          <cell r="H57">
            <v>0</v>
          </cell>
          <cell r="I57">
            <v>0</v>
          </cell>
          <cell r="J57">
            <v>0</v>
          </cell>
          <cell r="K57">
            <v>0</v>
          </cell>
          <cell r="L57">
            <v>0</v>
          </cell>
          <cell r="M57">
            <v>0</v>
          </cell>
          <cell r="N57">
            <v>0</v>
          </cell>
        </row>
        <row r="58">
          <cell r="C58">
            <v>10.28214</v>
          </cell>
          <cell r="D58">
            <v>10.24023</v>
          </cell>
          <cell r="E58">
            <v>10.70223</v>
          </cell>
          <cell r="F58">
            <v>11.137170000000001</v>
          </cell>
          <cell r="G58">
            <v>9.0781350000000014</v>
          </cell>
          <cell r="H58">
            <v>10.841985000000001</v>
          </cell>
          <cell r="I58">
            <v>0</v>
          </cell>
          <cell r="J58">
            <v>0</v>
          </cell>
          <cell r="K58">
            <v>0</v>
          </cell>
          <cell r="L58">
            <v>0</v>
          </cell>
          <cell r="M58">
            <v>0</v>
          </cell>
          <cell r="N58">
            <v>0</v>
          </cell>
        </row>
        <row r="59">
          <cell r="C59">
            <v>27.979883999999998</v>
          </cell>
          <cell r="D59">
            <v>27.865838</v>
          </cell>
          <cell r="E59">
            <v>29.123038000000001</v>
          </cell>
          <cell r="F59">
            <v>30.306602000000002</v>
          </cell>
          <cell r="G59">
            <v>24.703531000000005</v>
          </cell>
          <cell r="H59">
            <v>29.503341000000002</v>
          </cell>
          <cell r="I59">
            <v>0</v>
          </cell>
          <cell r="J59">
            <v>0</v>
          </cell>
          <cell r="K59">
            <v>0</v>
          </cell>
          <cell r="L59">
            <v>0</v>
          </cell>
          <cell r="M59">
            <v>0</v>
          </cell>
          <cell r="N59">
            <v>0</v>
          </cell>
        </row>
        <row r="60">
          <cell r="C60">
            <v>4.6736999999999993</v>
          </cell>
          <cell r="D60">
            <v>4.6546500000000002</v>
          </cell>
          <cell r="E60">
            <v>4.8646500000000001</v>
          </cell>
          <cell r="F60">
            <v>5.0623500000000003</v>
          </cell>
          <cell r="G60">
            <v>4.1264250000000002</v>
          </cell>
          <cell r="H60">
            <v>4.9281750000000004</v>
          </cell>
          <cell r="I60">
            <v>0</v>
          </cell>
          <cell r="J60">
            <v>0</v>
          </cell>
          <cell r="K60">
            <v>0</v>
          </cell>
          <cell r="L60">
            <v>0</v>
          </cell>
          <cell r="M60">
            <v>0</v>
          </cell>
          <cell r="N60">
            <v>0</v>
          </cell>
        </row>
        <row r="61">
          <cell r="C61">
            <v>0</v>
          </cell>
          <cell r="D61">
            <v>0</v>
          </cell>
          <cell r="E61">
            <v>0</v>
          </cell>
          <cell r="F61">
            <v>0</v>
          </cell>
          <cell r="G61">
            <v>0</v>
          </cell>
          <cell r="H61">
            <v>0</v>
          </cell>
          <cell r="I61">
            <v>0</v>
          </cell>
          <cell r="J61">
            <v>0</v>
          </cell>
          <cell r="K61">
            <v>0</v>
          </cell>
          <cell r="L61">
            <v>0</v>
          </cell>
          <cell r="M61">
            <v>0</v>
          </cell>
          <cell r="N61">
            <v>0</v>
          </cell>
        </row>
        <row r="62">
          <cell r="C62">
            <v>110.174688</v>
          </cell>
          <cell r="D62">
            <v>109.725616</v>
          </cell>
          <cell r="E62">
            <v>114.676016</v>
          </cell>
          <cell r="F62">
            <v>119.33646400000001</v>
          </cell>
          <cell r="G62">
            <v>97.273592000000022</v>
          </cell>
          <cell r="H62">
            <v>116.17351200000002</v>
          </cell>
          <cell r="I62">
            <v>0</v>
          </cell>
          <cell r="J62">
            <v>0</v>
          </cell>
          <cell r="K62">
            <v>0</v>
          </cell>
          <cell r="L62">
            <v>0</v>
          </cell>
          <cell r="M62">
            <v>0</v>
          </cell>
          <cell r="N62">
            <v>0</v>
          </cell>
        </row>
        <row r="63">
          <cell r="C63">
            <v>0</v>
          </cell>
          <cell r="D63">
            <v>0</v>
          </cell>
          <cell r="E63">
            <v>0</v>
          </cell>
          <cell r="F63">
            <v>0</v>
          </cell>
          <cell r="G63">
            <v>0</v>
          </cell>
          <cell r="H63">
            <v>0</v>
          </cell>
          <cell r="I63">
            <v>0</v>
          </cell>
          <cell r="J63">
            <v>0</v>
          </cell>
          <cell r="K63">
            <v>0</v>
          </cell>
          <cell r="L63">
            <v>0</v>
          </cell>
          <cell r="M63">
            <v>0</v>
          </cell>
          <cell r="N63">
            <v>0</v>
          </cell>
        </row>
        <row r="64">
          <cell r="C64">
            <v>36.953388000000082</v>
          </cell>
          <cell r="D64">
            <v>36.802766000000084</v>
          </cell>
          <cell r="E64">
            <v>38.463166000000086</v>
          </cell>
          <cell r="F64">
            <v>40.026314000000092</v>
          </cell>
          <cell r="G64">
            <v>32.626267000000077</v>
          </cell>
          <cell r="H64">
            <v>38.965437000000087</v>
          </cell>
          <cell r="I64">
            <v>0</v>
          </cell>
          <cell r="J64">
            <v>0</v>
          </cell>
          <cell r="K64">
            <v>0</v>
          </cell>
          <cell r="L64">
            <v>0</v>
          </cell>
          <cell r="M64">
            <v>0</v>
          </cell>
          <cell r="N64">
            <v>0</v>
          </cell>
        </row>
        <row r="65">
          <cell r="C65">
            <v>322.04908799999993</v>
          </cell>
          <cell r="D65">
            <v>320.73641599999991</v>
          </cell>
          <cell r="E65">
            <v>335.20681599999989</v>
          </cell>
          <cell r="F65">
            <v>348.82966399999992</v>
          </cell>
          <cell r="G65">
            <v>284.33819199999988</v>
          </cell>
          <cell r="H65">
            <v>339.58411199999989</v>
          </cell>
          <cell r="I65">
            <v>0</v>
          </cell>
          <cell r="J65">
            <v>0</v>
          </cell>
          <cell r="K65">
            <v>0</v>
          </cell>
          <cell r="L65">
            <v>0</v>
          </cell>
          <cell r="M65">
            <v>0</v>
          </cell>
          <cell r="N65">
            <v>0</v>
          </cell>
        </row>
        <row r="66">
          <cell r="C66">
            <v>623.16</v>
          </cell>
          <cell r="D66">
            <v>620.62</v>
          </cell>
          <cell r="E66">
            <v>648.62</v>
          </cell>
          <cell r="F66">
            <v>674.98</v>
          </cell>
          <cell r="G66">
            <v>550.19000000000005</v>
          </cell>
          <cell r="H66">
            <v>657.09</v>
          </cell>
          <cell r="I66">
            <v>0</v>
          </cell>
          <cell r="J66">
            <v>0</v>
          </cell>
          <cell r="K66">
            <v>0</v>
          </cell>
          <cell r="L66">
            <v>0</v>
          </cell>
          <cell r="M66">
            <v>0</v>
          </cell>
          <cell r="N66">
            <v>0</v>
          </cell>
        </row>
        <row r="70">
          <cell r="C70">
            <v>43.519999999999996</v>
          </cell>
          <cell r="D70">
            <v>60.11</v>
          </cell>
          <cell r="E70">
            <v>68.38</v>
          </cell>
          <cell r="F70">
            <v>60.64</v>
          </cell>
          <cell r="G70">
            <v>63.85</v>
          </cell>
          <cell r="H70">
            <v>71.680000000000007</v>
          </cell>
        </row>
        <row r="72">
          <cell r="C72">
            <v>90.64</v>
          </cell>
          <cell r="D72">
            <v>93.07</v>
          </cell>
          <cell r="E72">
            <v>91.06</v>
          </cell>
          <cell r="F72">
            <v>61.85</v>
          </cell>
          <cell r="G72">
            <v>69.650000000000006</v>
          </cell>
          <cell r="H72">
            <v>78.180000000000007</v>
          </cell>
        </row>
        <row r="73">
          <cell r="C73">
            <v>100.47</v>
          </cell>
          <cell r="D73">
            <v>87.96</v>
          </cell>
          <cell r="E73">
            <v>109.23</v>
          </cell>
          <cell r="F73">
            <v>168.5</v>
          </cell>
          <cell r="G73">
            <v>78.83</v>
          </cell>
          <cell r="H73">
            <v>75.260000000000005</v>
          </cell>
        </row>
        <row r="74">
          <cell r="C74">
            <v>1082.8499999999999</v>
          </cell>
          <cell r="D74">
            <v>1119.26</v>
          </cell>
          <cell r="E74">
            <v>1065.1300000000001</v>
          </cell>
          <cell r="F74">
            <v>1065.1300000000001</v>
          </cell>
          <cell r="G74">
            <v>940.58</v>
          </cell>
          <cell r="H74">
            <v>918.23</v>
          </cell>
        </row>
        <row r="76">
          <cell r="C76">
            <v>-25.26</v>
          </cell>
          <cell r="D76">
            <v>-19.13</v>
          </cell>
          <cell r="E76">
            <v>-3.5700000000000003</v>
          </cell>
          <cell r="F76">
            <v>0.74</v>
          </cell>
          <cell r="G76">
            <v>-14.63</v>
          </cell>
          <cell r="H76">
            <v>-16.670000000000002</v>
          </cell>
        </row>
        <row r="78">
          <cell r="C78">
            <v>-134.59</v>
          </cell>
          <cell r="D78">
            <v>-134.59</v>
          </cell>
          <cell r="E78">
            <v>-134.59</v>
          </cell>
          <cell r="F78">
            <v>-134.59</v>
          </cell>
          <cell r="G78">
            <v>-134.59</v>
          </cell>
          <cell r="H78">
            <v>-134.59</v>
          </cell>
        </row>
        <row r="79">
          <cell r="C79">
            <v>-14.309999999999999</v>
          </cell>
          <cell r="D79">
            <v>2</v>
          </cell>
          <cell r="E79">
            <v>4.1900000000000004</v>
          </cell>
          <cell r="F79">
            <v>8.42</v>
          </cell>
          <cell r="G79">
            <v>26.9</v>
          </cell>
          <cell r="H79">
            <v>25.77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KENT_SF"/>
      <sheetName val="Value"/>
      <sheetName val="Commodity Tonnages"/>
      <sheetName val="Pricing"/>
      <sheetName val="Single Family"/>
    </sheetNames>
    <sheetDataSet>
      <sheetData sheetId="0"/>
      <sheetData sheetId="1"/>
      <sheetData sheetId="2"/>
      <sheetData sheetId="3"/>
      <sheetData sheetId="4">
        <row r="13">
          <cell r="N13">
            <v>0.19500000000000001</v>
          </cell>
        </row>
        <row r="14">
          <cell r="N14">
            <v>0.1782</v>
          </cell>
        </row>
        <row r="15">
          <cell r="N15">
            <v>0</v>
          </cell>
        </row>
        <row r="16">
          <cell r="N16">
            <v>1.6500000000000001E-2</v>
          </cell>
        </row>
        <row r="17">
          <cell r="N17">
            <v>4.4900000000000002E-2</v>
          </cell>
        </row>
        <row r="18">
          <cell r="N18">
            <v>7.4999999999999997E-3</v>
          </cell>
        </row>
        <row r="19">
          <cell r="N19">
            <v>0</v>
          </cell>
        </row>
        <row r="20">
          <cell r="N20">
            <v>0.17680000000000001</v>
          </cell>
        </row>
        <row r="21">
          <cell r="N21">
            <v>0</v>
          </cell>
        </row>
        <row r="22">
          <cell r="N22">
            <v>5.930000000000013E-2</v>
          </cell>
        </row>
        <row r="23">
          <cell r="N23">
            <v>0.32179999999999997</v>
          </cell>
        </row>
        <row r="69">
          <cell r="N69">
            <v>68.501999999999995</v>
          </cell>
        </row>
        <row r="70">
          <cell r="N70">
            <v>92.007999999999996</v>
          </cell>
        </row>
        <row r="72">
          <cell r="N72">
            <v>53.521999999999991</v>
          </cell>
        </row>
        <row r="73">
          <cell r="N73">
            <v>102.76</v>
          </cell>
        </row>
        <row r="74">
          <cell r="N74">
            <v>763</v>
          </cell>
        </row>
        <row r="76">
          <cell r="N76">
            <v>-6.66</v>
          </cell>
        </row>
        <row r="77">
          <cell r="N77">
            <v>-120.17</v>
          </cell>
        </row>
        <row r="78">
          <cell r="N78">
            <v>-120.17</v>
          </cell>
        </row>
        <row r="79">
          <cell r="N79">
            <v>64.028999999999996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KENT_SF"/>
      <sheetName val="Value"/>
      <sheetName val="Commodity Tonnages"/>
      <sheetName val="Pricing"/>
      <sheetName val="Single Family"/>
    </sheetNames>
    <sheetDataSet>
      <sheetData sheetId="0" refreshError="1"/>
      <sheetData sheetId="1" refreshError="1"/>
      <sheetData sheetId="2" refreshError="1"/>
      <sheetData sheetId="3" refreshError="1"/>
      <sheetData sheetId="4" refreshError="1">
        <row r="21">
          <cell r="N21">
            <v>0</v>
          </cell>
        </row>
        <row r="22">
          <cell r="N22">
            <v>5.930000000000013E-2</v>
          </cell>
        </row>
        <row r="77">
          <cell r="N77">
            <v>-120.17</v>
          </cell>
        </row>
        <row r="78">
          <cell r="N78">
            <v>-120.17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Bellevue_MF"/>
      <sheetName val="Value"/>
      <sheetName val="Commodity Tonnages"/>
      <sheetName val="Pricing"/>
      <sheetName val="Multi_Family"/>
    </sheetNames>
    <sheetDataSet>
      <sheetData sheetId="0"/>
      <sheetData sheetId="1"/>
      <sheetData sheetId="2"/>
      <sheetData sheetId="3"/>
      <sheetData sheetId="4">
        <row r="7">
          <cell r="C7">
            <v>26.19</v>
          </cell>
          <cell r="D7">
            <v>27.22</v>
          </cell>
          <cell r="E7">
            <v>23.1</v>
          </cell>
          <cell r="F7">
            <v>28.51</v>
          </cell>
          <cell r="G7">
            <v>28.62</v>
          </cell>
          <cell r="H7">
            <v>29.57</v>
          </cell>
          <cell r="I7">
            <v>27.45</v>
          </cell>
          <cell r="J7">
            <v>32.61</v>
          </cell>
          <cell r="K7">
            <v>29.14</v>
          </cell>
          <cell r="L7">
            <v>23.59</v>
          </cell>
          <cell r="M7">
            <v>27.17</v>
          </cell>
          <cell r="N7">
            <v>23.94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AW of Bellevue_SF"/>
      <sheetName val="Value"/>
      <sheetName val="Commodity Tonnages"/>
      <sheetName val="Pricing"/>
      <sheetName val="Single Family"/>
    </sheetNames>
    <sheetDataSet>
      <sheetData sheetId="0"/>
      <sheetData sheetId="1"/>
      <sheetData sheetId="2"/>
      <sheetData sheetId="3"/>
      <sheetData sheetId="4"/>
      <sheetData sheetId="5">
        <row r="7">
          <cell r="C7">
            <v>334.04</v>
          </cell>
          <cell r="D7">
            <v>390.63</v>
          </cell>
          <cell r="E7">
            <v>339.63</v>
          </cell>
          <cell r="F7">
            <v>409.58</v>
          </cell>
          <cell r="G7">
            <v>383.47</v>
          </cell>
          <cell r="H7">
            <v>337.96</v>
          </cell>
          <cell r="I7">
            <v>365.47</v>
          </cell>
          <cell r="J7">
            <v>419.6</v>
          </cell>
          <cell r="K7">
            <v>415.66</v>
          </cell>
          <cell r="L7">
            <v>317.89</v>
          </cell>
          <cell r="M7">
            <v>363.38</v>
          </cell>
          <cell r="N7">
            <v>304.33</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KENT_MF"/>
      <sheetName val="Value"/>
      <sheetName val="Commodity Tonnages"/>
      <sheetName val="Pricing"/>
      <sheetName val="Multi_Family"/>
    </sheetNames>
    <sheetDataSet>
      <sheetData sheetId="0"/>
      <sheetData sheetId="1"/>
      <sheetData sheetId="2"/>
      <sheetData sheetId="3"/>
      <sheetData sheetId="4"/>
      <sheetData sheetId="5">
        <row r="7">
          <cell r="C7">
            <v>3.12</v>
          </cell>
          <cell r="D7">
            <v>3.4</v>
          </cell>
          <cell r="E7">
            <v>2.84</v>
          </cell>
          <cell r="F7">
            <v>3.19</v>
          </cell>
          <cell r="G7">
            <v>2.94</v>
          </cell>
          <cell r="H7">
            <v>3.08</v>
          </cell>
          <cell r="I7">
            <v>3.83</v>
          </cell>
          <cell r="J7">
            <v>3.42</v>
          </cell>
          <cell r="K7">
            <v>3.68</v>
          </cell>
          <cell r="L7">
            <v>3.05</v>
          </cell>
          <cell r="M7">
            <v>3.84</v>
          </cell>
          <cell r="N7">
            <v>3.46</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AW of Kent (SeaTac)_SF"/>
      <sheetName val="Value"/>
      <sheetName val="Commodity Tonnages"/>
      <sheetName val="Pricing"/>
      <sheetName val="Single Family"/>
    </sheetNames>
    <sheetDataSet>
      <sheetData sheetId="0"/>
      <sheetData sheetId="1"/>
      <sheetData sheetId="2"/>
      <sheetData sheetId="3"/>
      <sheetData sheetId="4"/>
      <sheetData sheetId="5">
        <row r="7">
          <cell r="C7">
            <v>132.51</v>
          </cell>
          <cell r="D7">
            <v>160.1</v>
          </cell>
          <cell r="E7">
            <v>84.43</v>
          </cell>
          <cell r="F7">
            <v>113.75</v>
          </cell>
          <cell r="G7">
            <v>105.96</v>
          </cell>
          <cell r="H7">
            <v>135.9</v>
          </cell>
          <cell r="I7">
            <v>153.9</v>
          </cell>
          <cell r="J7">
            <v>147.43</v>
          </cell>
          <cell r="K7">
            <v>117.13</v>
          </cell>
          <cell r="L7">
            <v>90.51</v>
          </cell>
          <cell r="M7">
            <v>108.3</v>
          </cell>
          <cell r="N7">
            <v>108.13</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 (SeaTac)_MF"/>
      <sheetName val="Value"/>
      <sheetName val="Commodity Tonnages"/>
      <sheetName val="Pricing"/>
      <sheetName val="Multi_Family"/>
    </sheetNames>
    <sheetDataSet>
      <sheetData sheetId="0"/>
      <sheetData sheetId="1"/>
      <sheetData sheetId="2"/>
      <sheetData sheetId="3"/>
      <sheetData sheetId="4">
        <row r="7">
          <cell r="C7">
            <v>2.5299999999999998</v>
          </cell>
          <cell r="D7">
            <v>8.83</v>
          </cell>
          <cell r="E7">
            <v>4.6900000000000004</v>
          </cell>
          <cell r="F7">
            <v>10.76</v>
          </cell>
          <cell r="G7">
            <v>8.35</v>
          </cell>
          <cell r="H7">
            <v>8</v>
          </cell>
          <cell r="I7">
            <v>4.5199999999999996</v>
          </cell>
          <cell r="J7">
            <v>2.04</v>
          </cell>
          <cell r="K7">
            <v>2.2400000000000002</v>
          </cell>
          <cell r="L7">
            <v>2.34</v>
          </cell>
          <cell r="M7">
            <v>3.85</v>
          </cell>
          <cell r="N7">
            <v>2.91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nalysis"/>
      <sheetName val="WUTC_KENT_SF"/>
      <sheetName val="Value"/>
      <sheetName val="Commodity Tonnages"/>
      <sheetName val="Pricing"/>
      <sheetName val="Single Family"/>
    </sheetNames>
    <sheetDataSet>
      <sheetData sheetId="0"/>
      <sheetData sheetId="1">
        <row r="8">
          <cell r="B8">
            <v>25892</v>
          </cell>
        </row>
        <row r="9">
          <cell r="B9">
            <v>25675</v>
          </cell>
        </row>
        <row r="10">
          <cell r="B10">
            <v>25732</v>
          </cell>
        </row>
        <row r="14">
          <cell r="B14">
            <v>25826</v>
          </cell>
        </row>
        <row r="15">
          <cell r="B15">
            <v>25818</v>
          </cell>
        </row>
        <row r="16">
          <cell r="B16">
            <v>26006</v>
          </cell>
        </row>
        <row r="17">
          <cell r="B17">
            <v>26092</v>
          </cell>
        </row>
        <row r="18">
          <cell r="B18">
            <v>25938</v>
          </cell>
        </row>
        <row r="19">
          <cell r="B19">
            <v>26051</v>
          </cell>
        </row>
        <row r="20">
          <cell r="B20">
            <v>26199</v>
          </cell>
        </row>
        <row r="21">
          <cell r="B21">
            <v>26313</v>
          </cell>
        </row>
        <row r="22">
          <cell r="B22">
            <v>26313</v>
          </cell>
        </row>
        <row r="31">
          <cell r="G31">
            <v>341689</v>
          </cell>
        </row>
        <row r="56">
          <cell r="N56">
            <v>0.5</v>
          </cell>
        </row>
        <row r="65">
          <cell r="I65">
            <v>3.8219384588099675E-2</v>
          </cell>
        </row>
      </sheetData>
      <sheetData sheetId="2">
        <row r="20">
          <cell r="G20">
            <v>134900.32941933675</v>
          </cell>
          <cell r="M20">
            <v>525153.47962236416</v>
          </cell>
        </row>
      </sheetData>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AW of Bellevue_SF"/>
      <sheetName val="Value"/>
      <sheetName val="Commodity Tonnages"/>
      <sheetName val="Pricing"/>
      <sheetName val="Single Family"/>
    </sheetNames>
    <sheetDataSet>
      <sheetData sheetId="0"/>
      <sheetData sheetId="1"/>
      <sheetData sheetId="2">
        <row r="18">
          <cell r="P18">
            <v>0.49763128987592975</v>
          </cell>
        </row>
      </sheetData>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Bellevue_MF"/>
      <sheetName val="Value"/>
      <sheetName val="Commodity Tonnages"/>
      <sheetName val="Pricing"/>
      <sheetName val="Multi_Family"/>
    </sheetNames>
    <sheetDataSet>
      <sheetData sheetId="0"/>
      <sheetData sheetId="1"/>
      <sheetData sheetId="2"/>
      <sheetData sheetId="3"/>
      <sheetData sheetId="4">
        <row r="7">
          <cell r="C7">
            <v>26.19</v>
          </cell>
          <cell r="D7">
            <v>27.22</v>
          </cell>
          <cell r="E7">
            <v>23.1</v>
          </cell>
          <cell r="F7">
            <v>28.51</v>
          </cell>
          <cell r="G7">
            <v>28.62</v>
          </cell>
          <cell r="H7">
            <v>29.57</v>
          </cell>
          <cell r="I7">
            <v>27.45</v>
          </cell>
          <cell r="J7">
            <v>32.61</v>
          </cell>
          <cell r="K7">
            <v>29.14</v>
          </cell>
          <cell r="L7">
            <v>23.59</v>
          </cell>
          <cell r="M7">
            <v>27.17</v>
          </cell>
          <cell r="N7">
            <v>23.94</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AW of Bellevue_SF"/>
      <sheetName val="Value"/>
      <sheetName val="Commodity Tonnages"/>
      <sheetName val="Pricing"/>
      <sheetName val="Single Family"/>
    </sheetNames>
    <sheetDataSet>
      <sheetData sheetId="0"/>
      <sheetData sheetId="1"/>
      <sheetData sheetId="2"/>
      <sheetData sheetId="3"/>
      <sheetData sheetId="4"/>
      <sheetData sheetId="5">
        <row r="7">
          <cell r="C7">
            <v>334.04</v>
          </cell>
          <cell r="D7">
            <v>390.63</v>
          </cell>
          <cell r="E7">
            <v>339.63</v>
          </cell>
          <cell r="F7">
            <v>409.58</v>
          </cell>
          <cell r="G7">
            <v>383.47</v>
          </cell>
          <cell r="H7">
            <v>337.96</v>
          </cell>
          <cell r="I7">
            <v>365.47</v>
          </cell>
          <cell r="J7">
            <v>419.6</v>
          </cell>
          <cell r="K7">
            <v>415.66</v>
          </cell>
          <cell r="L7">
            <v>317.89</v>
          </cell>
          <cell r="M7">
            <v>363.38</v>
          </cell>
          <cell r="N7">
            <v>304.33</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KENT_MF"/>
      <sheetName val="Value"/>
      <sheetName val="Commodity Tonnages"/>
      <sheetName val="Pricing"/>
      <sheetName val="Multi_Family"/>
    </sheetNames>
    <sheetDataSet>
      <sheetData sheetId="0"/>
      <sheetData sheetId="1"/>
      <sheetData sheetId="2"/>
      <sheetData sheetId="3"/>
      <sheetData sheetId="4"/>
      <sheetData sheetId="5">
        <row r="7">
          <cell r="C7">
            <v>3.12</v>
          </cell>
          <cell r="D7">
            <v>3.4</v>
          </cell>
          <cell r="E7">
            <v>2.84</v>
          </cell>
          <cell r="F7">
            <v>3.19</v>
          </cell>
          <cell r="G7">
            <v>2.94</v>
          </cell>
          <cell r="H7">
            <v>3.08</v>
          </cell>
          <cell r="I7">
            <v>3.83</v>
          </cell>
          <cell r="J7">
            <v>3.42</v>
          </cell>
          <cell r="K7">
            <v>3.68</v>
          </cell>
          <cell r="L7">
            <v>3.05</v>
          </cell>
          <cell r="M7">
            <v>3.84</v>
          </cell>
          <cell r="N7">
            <v>3.46</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AW of Kent (SeaTac)_SF"/>
      <sheetName val="Value"/>
      <sheetName val="Commodity Tonnages"/>
      <sheetName val="Pricing"/>
      <sheetName val="Single Family"/>
    </sheetNames>
    <sheetDataSet>
      <sheetData sheetId="0"/>
      <sheetData sheetId="1"/>
      <sheetData sheetId="2"/>
      <sheetData sheetId="3"/>
      <sheetData sheetId="4"/>
      <sheetData sheetId="5">
        <row r="7">
          <cell r="C7">
            <v>132.51</v>
          </cell>
          <cell r="D7">
            <v>160.1</v>
          </cell>
          <cell r="E7">
            <v>84.43</v>
          </cell>
          <cell r="F7">
            <v>113.75</v>
          </cell>
          <cell r="G7">
            <v>105.96</v>
          </cell>
          <cell r="H7">
            <v>135.9</v>
          </cell>
          <cell r="I7">
            <v>153.9</v>
          </cell>
          <cell r="J7">
            <v>147.43</v>
          </cell>
          <cell r="K7">
            <v>117.13</v>
          </cell>
          <cell r="L7">
            <v>90.51</v>
          </cell>
          <cell r="M7">
            <v>108.3</v>
          </cell>
          <cell r="N7">
            <v>108.13</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 (SeaTac)_MF"/>
      <sheetName val="Value"/>
      <sheetName val="Commodity Tonnages"/>
      <sheetName val="Pricing"/>
      <sheetName val="Multi_Family"/>
    </sheetNames>
    <sheetDataSet>
      <sheetData sheetId="0"/>
      <sheetData sheetId="1"/>
      <sheetData sheetId="2"/>
      <sheetData sheetId="3"/>
      <sheetData sheetId="4">
        <row r="7">
          <cell r="C7">
            <v>2.5299999999999998</v>
          </cell>
          <cell r="D7">
            <v>8.83</v>
          </cell>
          <cell r="E7">
            <v>4.6900000000000004</v>
          </cell>
          <cell r="F7">
            <v>10.76</v>
          </cell>
          <cell r="G7">
            <v>8.35</v>
          </cell>
          <cell r="H7">
            <v>8</v>
          </cell>
          <cell r="I7">
            <v>4.5199999999999996</v>
          </cell>
          <cell r="J7">
            <v>2.04</v>
          </cell>
          <cell r="K7">
            <v>2.2400000000000002</v>
          </cell>
          <cell r="L7">
            <v>2.34</v>
          </cell>
          <cell r="M7">
            <v>3.85</v>
          </cell>
          <cell r="N7">
            <v>2.91</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2017 Budget Summary"/>
      <sheetName val="2014-2015 Admin Time"/>
      <sheetName val="Impact on Recycling"/>
      <sheetName val="Impact on Recycling (old)"/>
      <sheetName val="2014-2015 Cost Summary"/>
      <sheetName val="MF"/>
      <sheetName val="SF 13-14 (2)"/>
      <sheetName val="SF"/>
      <sheetName val="SF 14-15"/>
      <sheetName val="MF 14-15"/>
      <sheetName val="Reporting Timeline"/>
    </sheetNames>
    <sheetDataSet>
      <sheetData sheetId="0"/>
      <sheetData sheetId="1"/>
      <sheetData sheetId="2"/>
      <sheetData sheetId="3"/>
      <sheetData sheetId="4">
        <row r="53">
          <cell r="D53">
            <v>6486.5194878737675</v>
          </cell>
        </row>
      </sheetData>
      <sheetData sheetId="5"/>
      <sheetData sheetId="6"/>
      <sheetData sheetId="7"/>
      <sheetData sheetId="8"/>
      <sheetData sheetId="9"/>
      <sheetData sheetId="1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2015-2017"/>
      <sheetName val="Admin Time "/>
      <sheetName val="Impact on Recycling"/>
      <sheetName val="Cost summary 2014-2015"/>
      <sheetName val="SF 13-14"/>
      <sheetName val="MF"/>
      <sheetName val="SF 14-15"/>
      <sheetName val="MF 14-15"/>
    </sheetNames>
    <sheetDataSet>
      <sheetData sheetId="0"/>
      <sheetData sheetId="1"/>
      <sheetData sheetId="2"/>
      <sheetData sheetId="3">
        <row r="57">
          <cell r="D57">
            <v>0</v>
          </cell>
        </row>
      </sheetData>
      <sheetData sheetId="4"/>
      <sheetData sheetId="5"/>
      <sheetData sheetId="6"/>
      <sheetData sheetId="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_MF"/>
      <sheetName val="Value"/>
      <sheetName val="Commodity Tonnages"/>
      <sheetName val="Pricing"/>
      <sheetName val="Multi_Family"/>
    </sheetNames>
    <sheetDataSet>
      <sheetData sheetId="0">
        <row r="56">
          <cell r="O56">
            <v>0.5</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2015"/>
      <sheetName val="2013-2014"/>
      <sheetName val="Sheet3"/>
    </sheetNames>
    <sheetDataSet>
      <sheetData sheetId="0">
        <row r="6">
          <cell r="C6">
            <v>1777.3063396774123</v>
          </cell>
        </row>
        <row r="7">
          <cell r="C7">
            <v>3397.6389077482795</v>
          </cell>
          <cell r="E7">
            <v>71.351714366611432</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KENT_SF"/>
      <sheetName val="Value"/>
      <sheetName val="Commodity Tonnages"/>
      <sheetName val="Pricing"/>
      <sheetName val="Single Family"/>
    </sheetNames>
    <sheetDataSet>
      <sheetData sheetId="0">
        <row r="31">
          <cell r="G31">
            <v>260206</v>
          </cell>
        </row>
        <row r="34">
          <cell r="F34">
            <v>77359</v>
          </cell>
        </row>
        <row r="38">
          <cell r="F38">
            <v>179490</v>
          </cell>
        </row>
        <row r="68">
          <cell r="I68">
            <v>0.19061947674298185</v>
          </cell>
        </row>
      </sheetData>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KENT_SF"/>
      <sheetName val="Value"/>
      <sheetName val="Commodity Tonnages"/>
      <sheetName val="Pricing"/>
      <sheetName val="Single Family"/>
    </sheetNames>
    <sheetDataSet>
      <sheetData sheetId="0"/>
      <sheetData sheetId="1"/>
      <sheetData sheetId="2"/>
      <sheetData sheetId="3"/>
      <sheetData sheetId="4">
        <row r="69">
          <cell r="N69">
            <v>73.709999999999994</v>
          </cell>
        </row>
        <row r="70">
          <cell r="N70">
            <v>98.650999999999996</v>
          </cell>
        </row>
        <row r="71">
          <cell r="N71">
            <v>0</v>
          </cell>
        </row>
        <row r="72">
          <cell r="N72">
            <v>81.676000000000002</v>
          </cell>
        </row>
        <row r="73">
          <cell r="N73">
            <v>177.28199999999998</v>
          </cell>
        </row>
        <row r="74">
          <cell r="N74">
            <v>1092</v>
          </cell>
        </row>
        <row r="75">
          <cell r="N75">
            <v>0</v>
          </cell>
        </row>
        <row r="76">
          <cell r="N76">
            <v>-17.75</v>
          </cell>
        </row>
        <row r="77">
          <cell r="N77">
            <v>-120.17</v>
          </cell>
        </row>
        <row r="78">
          <cell r="N78">
            <v>-120.17</v>
          </cell>
        </row>
        <row r="79">
          <cell r="N79">
            <v>69.23</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KENT_MF"/>
      <sheetName val="Value"/>
      <sheetName val="Commodity Tonnages"/>
      <sheetName val="Pricing"/>
      <sheetName val="Multi_Family"/>
    </sheetNames>
    <sheetDataSet>
      <sheetData sheetId="0"/>
      <sheetData sheetId="1"/>
      <sheetData sheetId="2"/>
      <sheetData sheetId="3"/>
      <sheetData sheetId="4"/>
      <sheetData sheetId="5">
        <row r="7">
          <cell r="C7">
            <v>10.29</v>
          </cell>
          <cell r="D7">
            <v>8.58</v>
          </cell>
          <cell r="E7">
            <v>8.69</v>
          </cell>
          <cell r="F7">
            <v>7.27</v>
          </cell>
          <cell r="G7">
            <v>9.07</v>
          </cell>
          <cell r="H7">
            <v>8.19</v>
          </cell>
          <cell r="I7">
            <v>7.5</v>
          </cell>
          <cell r="J7">
            <v>8.9</v>
          </cell>
          <cell r="K7">
            <v>6.37</v>
          </cell>
          <cell r="L7">
            <v>5.12</v>
          </cell>
          <cell r="M7">
            <v>6.66</v>
          </cell>
          <cell r="N7">
            <v>5.4</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AW of Bellevue_SF"/>
      <sheetName val="Value"/>
      <sheetName val="Commodity Tonnages"/>
      <sheetName val="Pricing"/>
      <sheetName val="Single Family"/>
    </sheetNames>
    <sheetDataSet>
      <sheetData sheetId="0"/>
      <sheetData sheetId="1"/>
      <sheetData sheetId="2"/>
      <sheetData sheetId="3"/>
      <sheetData sheetId="4"/>
      <sheetData sheetId="5">
        <row r="7">
          <cell r="C7">
            <v>364.42</v>
          </cell>
          <cell r="D7">
            <v>327.13</v>
          </cell>
          <cell r="E7">
            <v>365.38</v>
          </cell>
          <cell r="F7">
            <v>323.07</v>
          </cell>
          <cell r="G7">
            <v>356.7</v>
          </cell>
          <cell r="H7">
            <v>390.18</v>
          </cell>
          <cell r="I7">
            <v>326.56</v>
          </cell>
          <cell r="J7">
            <v>386.64</v>
          </cell>
          <cell r="K7">
            <v>416.36</v>
          </cell>
          <cell r="L7">
            <v>307.24</v>
          </cell>
          <cell r="M7">
            <v>351.71</v>
          </cell>
          <cell r="N7">
            <v>349.22</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Bellevue_MF"/>
      <sheetName val="Value"/>
      <sheetName val="Commodity Tonnages"/>
      <sheetName val="Pricing"/>
      <sheetName val="Multi_Family"/>
    </sheetNames>
    <sheetDataSet>
      <sheetData sheetId="0"/>
      <sheetData sheetId="1"/>
      <sheetData sheetId="2"/>
      <sheetData sheetId="3"/>
      <sheetData sheetId="4">
        <row r="7">
          <cell r="C7">
            <v>35.26</v>
          </cell>
          <cell r="D7">
            <v>34.83</v>
          </cell>
          <cell r="E7">
            <v>32.770000000000003</v>
          </cell>
          <cell r="F7">
            <v>33.75</v>
          </cell>
          <cell r="G7">
            <v>38.630000000000003</v>
          </cell>
          <cell r="H7">
            <v>38.85</v>
          </cell>
          <cell r="I7">
            <v>36.6</v>
          </cell>
          <cell r="J7">
            <v>40.380000000000003</v>
          </cell>
          <cell r="K7">
            <v>40.39</v>
          </cell>
          <cell r="L7">
            <v>36.770000000000003</v>
          </cell>
          <cell r="M7">
            <v>41.29</v>
          </cell>
          <cell r="N7">
            <v>38.75</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 (SeaTac)_MF"/>
      <sheetName val="Value"/>
      <sheetName val="Commodity Tonnages"/>
      <sheetName val="Pricing"/>
      <sheetName val="Multi_Family"/>
    </sheetNames>
    <sheetDataSet>
      <sheetData sheetId="0"/>
      <sheetData sheetId="1"/>
      <sheetData sheetId="2"/>
      <sheetData sheetId="3"/>
      <sheetData sheetId="4">
        <row r="7">
          <cell r="C7">
            <v>5.68</v>
          </cell>
          <cell r="D7">
            <v>6.11</v>
          </cell>
          <cell r="E7">
            <v>2.74</v>
          </cell>
          <cell r="F7">
            <v>2.83</v>
          </cell>
          <cell r="G7">
            <v>2.81</v>
          </cell>
          <cell r="H7">
            <v>2.39</v>
          </cell>
          <cell r="I7">
            <v>2.2400000000000002</v>
          </cell>
          <cell r="J7">
            <v>2.68</v>
          </cell>
          <cell r="K7">
            <v>14.8</v>
          </cell>
          <cell r="L7">
            <v>13.19</v>
          </cell>
          <cell r="M7">
            <v>14.98</v>
          </cell>
          <cell r="N7">
            <v>12.42</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AW of Kent (SeaTac)_SF"/>
      <sheetName val="Value"/>
      <sheetName val="Commodity Tonnages"/>
      <sheetName val="Pricing"/>
      <sheetName val="Single Family"/>
    </sheetNames>
    <sheetDataSet>
      <sheetData sheetId="0"/>
      <sheetData sheetId="1"/>
      <sheetData sheetId="2"/>
      <sheetData sheetId="3"/>
      <sheetData sheetId="4"/>
      <sheetData sheetId="5">
        <row r="7">
          <cell r="C7">
            <v>118.90405630317431</v>
          </cell>
          <cell r="D7">
            <v>156.59629060111661</v>
          </cell>
          <cell r="E7">
            <v>147.80333927480925</v>
          </cell>
          <cell r="F7">
            <v>118.46694219476814</v>
          </cell>
          <cell r="G7">
            <v>98.368850887100535</v>
          </cell>
          <cell r="H7">
            <v>100.03723042041923</v>
          </cell>
          <cell r="I7">
            <v>89.058432115719413</v>
          </cell>
          <cell r="J7">
            <v>172.74523447181363</v>
          </cell>
          <cell r="K7">
            <v>125.49624728451403</v>
          </cell>
          <cell r="L7">
            <v>92.821322693865966</v>
          </cell>
          <cell r="M7">
            <v>115.03739244941634</v>
          </cell>
          <cell r="N7">
            <v>104.2472911770905</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KENT_MF"/>
      <sheetName val="Value"/>
      <sheetName val="Commodity Tonnages"/>
      <sheetName val="Pricing"/>
      <sheetName val="Multi_Family"/>
    </sheetNames>
    <sheetDataSet>
      <sheetData sheetId="0"/>
      <sheetData sheetId="1">
        <row r="1">
          <cell r="A1" t="str">
            <v>Kent-Meridian Disposal</v>
          </cell>
        </row>
      </sheetData>
      <sheetData sheetId="2">
        <row r="6">
          <cell r="O6" t="str">
            <v>Total</v>
          </cell>
        </row>
        <row r="7">
          <cell r="A7">
            <v>41425</v>
          </cell>
          <cell r="C7">
            <v>83.195730449999985</v>
          </cell>
          <cell r="D7">
            <v>-27.616548959999999</v>
          </cell>
          <cell r="E7">
            <v>0</v>
          </cell>
          <cell r="F7">
            <v>13.614210224999997</v>
          </cell>
          <cell r="G7">
            <v>150.68387879999997</v>
          </cell>
          <cell r="H7">
            <v>232.0243325399999</v>
          </cell>
          <cell r="I7">
            <v>43.682006455499995</v>
          </cell>
          <cell r="J7">
            <v>43.682006455499995</v>
          </cell>
          <cell r="K7">
            <v>182.52066627662779</v>
          </cell>
          <cell r="L7">
            <v>-73.327373490000156</v>
          </cell>
          <cell r="M7">
            <v>648.45890875262762</v>
          </cell>
          <cell r="O7">
            <v>324.12876604965663</v>
          </cell>
        </row>
        <row r="8">
          <cell r="A8">
            <v>41455</v>
          </cell>
          <cell r="C8">
            <v>67.485067650000005</v>
          </cell>
          <cell r="D8">
            <v>-10.588269120000001</v>
          </cell>
          <cell r="E8">
            <v>0</v>
          </cell>
          <cell r="F8">
            <v>10.503503009999999</v>
          </cell>
          <cell r="G8">
            <v>123.5350116</v>
          </cell>
          <cell r="H8">
            <v>188.75048992799992</v>
          </cell>
          <cell r="I8">
            <v>36.715488809999997</v>
          </cell>
          <cell r="J8">
            <v>36.715488809999997</v>
          </cell>
          <cell r="K8">
            <v>146.24158348799997</v>
          </cell>
          <cell r="L8">
            <v>-61.141774980000129</v>
          </cell>
          <cell r="M8">
            <v>538.21658919599975</v>
          </cell>
          <cell r="O8">
            <v>269.02832939034744</v>
          </cell>
        </row>
        <row r="9">
          <cell r="A9">
            <v>41486</v>
          </cell>
          <cell r="C9">
            <v>70.554740024999987</v>
          </cell>
          <cell r="D9">
            <v>-11.676579199999999</v>
          </cell>
          <cell r="E9">
            <v>0</v>
          </cell>
          <cell r="F9">
            <v>10.574930519999999</v>
          </cell>
          <cell r="G9">
            <v>126.15077474999998</v>
          </cell>
          <cell r="H9">
            <v>191.32696875599984</v>
          </cell>
          <cell r="I9">
            <v>41.711909624</v>
          </cell>
          <cell r="J9">
            <v>41.711909624</v>
          </cell>
          <cell r="K9">
            <v>157.39543511999997</v>
          </cell>
          <cell r="L9">
            <v>-61.925643890000138</v>
          </cell>
          <cell r="M9">
            <v>565.82444532899956</v>
          </cell>
          <cell r="O9">
            <v>282.84101203945676</v>
          </cell>
        </row>
        <row r="10">
          <cell r="A10">
            <v>41517</v>
          </cell>
          <cell r="C10">
            <v>62.059591649999994</v>
          </cell>
          <cell r="D10">
            <v>-11.195276560000002</v>
          </cell>
          <cell r="E10">
            <v>0</v>
          </cell>
          <cell r="F10">
            <v>8.7873035249999987</v>
          </cell>
          <cell r="G10">
            <v>104.47513439999999</v>
          </cell>
          <cell r="H10">
            <v>159.12949823399993</v>
          </cell>
          <cell r="I10">
            <v>35.314072254999999</v>
          </cell>
          <cell r="J10">
            <v>35.314072254999999</v>
          </cell>
          <cell r="K10">
            <v>128.24811291599997</v>
          </cell>
          <cell r="L10">
            <v>-51.806608870000112</v>
          </cell>
          <cell r="M10">
            <v>470.32589980499972</v>
          </cell>
          <cell r="O10">
            <v>235.17774980499973</v>
          </cell>
        </row>
        <row r="11">
          <cell r="A11">
            <v>41547</v>
          </cell>
          <cell r="C11">
            <v>78.286979399999993</v>
          </cell>
          <cell r="D11">
            <v>4.1692976000000002</v>
          </cell>
          <cell r="E11">
            <v>0</v>
          </cell>
          <cell r="F11">
            <v>11.47943643</v>
          </cell>
          <cell r="G11">
            <v>118.50662459999998</v>
          </cell>
          <cell r="H11">
            <v>183.32809878599986</v>
          </cell>
          <cell r="I11">
            <v>48.496125411999998</v>
          </cell>
          <cell r="J11">
            <v>48.496125411999998</v>
          </cell>
          <cell r="K11">
            <v>147.850280424</v>
          </cell>
          <cell r="L11">
            <v>-64.633554670000137</v>
          </cell>
          <cell r="M11">
            <v>575.97941339399949</v>
          </cell>
          <cell r="O11">
            <v>288.00691339399947</v>
          </cell>
        </row>
        <row r="12">
          <cell r="A12">
            <v>41578</v>
          </cell>
          <cell r="C12">
            <v>69.071613974999991</v>
          </cell>
          <cell r="D12">
            <v>1.4393040479999997</v>
          </cell>
          <cell r="E12">
            <v>0</v>
          </cell>
          <cell r="F12">
            <v>8.3716132499999993</v>
          </cell>
          <cell r="G12">
            <v>109.32286364999999</v>
          </cell>
          <cell r="H12">
            <v>160.02483915599987</v>
          </cell>
          <cell r="I12">
            <v>42.31204818749999</v>
          </cell>
          <cell r="J12">
            <v>42.31204818749999</v>
          </cell>
          <cell r="K12">
            <v>139.134509514</v>
          </cell>
          <cell r="L12">
            <v>-58.362603390000125</v>
          </cell>
          <cell r="M12">
            <v>513.62623657799975</v>
          </cell>
          <cell r="O12">
            <v>256.82878657799978</v>
          </cell>
        </row>
        <row r="13">
          <cell r="A13">
            <v>41608</v>
          </cell>
          <cell r="C13">
            <v>69.3</v>
          </cell>
          <cell r="D13">
            <v>-3.9170039999999999</v>
          </cell>
          <cell r="E13">
            <v>0</v>
          </cell>
          <cell r="F13">
            <v>6.5410537499999997</v>
          </cell>
          <cell r="G13">
            <v>93.24315</v>
          </cell>
          <cell r="H13">
            <v>136.05140849999995</v>
          </cell>
          <cell r="I13">
            <v>35.253852375000001</v>
          </cell>
          <cell r="J13">
            <v>35.253852375000001</v>
          </cell>
          <cell r="K13">
            <v>124.42814999999999</v>
          </cell>
          <cell r="L13">
            <v>-53.445607500000115</v>
          </cell>
          <cell r="M13">
            <v>442.70885549999986</v>
          </cell>
          <cell r="O13">
            <v>221.34635549999985</v>
          </cell>
        </row>
        <row r="14">
          <cell r="A14">
            <v>41639</v>
          </cell>
          <cell r="C14">
            <v>79.432500000000005</v>
          </cell>
          <cell r="D14">
            <v>-7.5009698400000007</v>
          </cell>
          <cell r="E14">
            <v>0</v>
          </cell>
          <cell r="F14">
            <v>7.8268112999999992</v>
          </cell>
          <cell r="G14">
            <v>105.48542549999999</v>
          </cell>
          <cell r="H14">
            <v>153.84942635999994</v>
          </cell>
          <cell r="I14">
            <v>34.280543850000001</v>
          </cell>
          <cell r="J14">
            <v>34.280543850000001</v>
          </cell>
          <cell r="K14">
            <v>140.59395504</v>
          </cell>
          <cell r="L14">
            <v>-63.422120900000145</v>
          </cell>
          <cell r="M14">
            <v>484.8261151599998</v>
          </cell>
          <cell r="O14">
            <v>242.43461515999979</v>
          </cell>
        </row>
        <row r="15">
          <cell r="A15">
            <v>41670</v>
          </cell>
          <cell r="C15">
            <v>52.839149999999997</v>
          </cell>
          <cell r="D15">
            <v>-4.4305337439999999</v>
          </cell>
          <cell r="E15">
            <v>0</v>
          </cell>
          <cell r="F15">
            <v>5.5731926249999999</v>
          </cell>
          <cell r="G15">
            <v>73.412307150000004</v>
          </cell>
          <cell r="H15">
            <v>109.16766369599988</v>
          </cell>
          <cell r="I15">
            <v>18.661490210999997</v>
          </cell>
          <cell r="J15">
            <v>18.661490210999997</v>
          </cell>
          <cell r="K15">
            <v>97.218551430000005</v>
          </cell>
          <cell r="L15">
            <v>-45.393135970000102</v>
          </cell>
          <cell r="M15">
            <v>325.71017560899975</v>
          </cell>
          <cell r="O15">
            <v>162.86112560899974</v>
          </cell>
        </row>
        <row r="16">
          <cell r="A16">
            <v>41698</v>
          </cell>
          <cell r="C16">
            <v>42.063705599999992</v>
          </cell>
          <cell r="D16">
            <v>-8.2501386239999999</v>
          </cell>
          <cell r="E16">
            <v>0</v>
          </cell>
          <cell r="F16">
            <v>3.3027455999999997</v>
          </cell>
          <cell r="G16">
            <v>58.426367999999989</v>
          </cell>
          <cell r="H16">
            <v>85.623308287999933</v>
          </cell>
          <cell r="I16">
            <v>11.981417728</v>
          </cell>
          <cell r="J16">
            <v>11.981417728</v>
          </cell>
          <cell r="K16">
            <v>67.009130495999997</v>
          </cell>
          <cell r="L16">
            <v>-36.485534720000082</v>
          </cell>
          <cell r="M16">
            <v>235.65242009599984</v>
          </cell>
          <cell r="O16">
            <v>117.81562009599983</v>
          </cell>
        </row>
        <row r="17">
          <cell r="A17">
            <v>41729</v>
          </cell>
          <cell r="C17">
            <v>52.007640299999998</v>
          </cell>
          <cell r="D17">
            <v>-6.1158726720000001</v>
          </cell>
          <cell r="E17">
            <v>0</v>
          </cell>
          <cell r="F17">
            <v>4.3684571700000001</v>
          </cell>
          <cell r="G17">
            <v>77.818103999999991</v>
          </cell>
          <cell r="H17">
            <v>120.16855115999995</v>
          </cell>
          <cell r="I17">
            <v>17.832294522000002</v>
          </cell>
          <cell r="J17">
            <v>17.832294522000002</v>
          </cell>
          <cell r="K17">
            <v>85.145453315999987</v>
          </cell>
          <cell r="L17">
            <v>-47.45969946000011</v>
          </cell>
          <cell r="M17">
            <v>321.59722285799978</v>
          </cell>
          <cell r="O17">
            <v>160.79152285799978</v>
          </cell>
        </row>
        <row r="18">
          <cell r="A18">
            <v>41759</v>
          </cell>
          <cell r="C18">
            <v>39.298486500000003</v>
          </cell>
          <cell r="D18">
            <v>-13.299249600000001</v>
          </cell>
          <cell r="E18">
            <v>0</v>
          </cell>
          <cell r="F18">
            <v>3.4989570000000003</v>
          </cell>
          <cell r="G18">
            <v>64.533105000000006</v>
          </cell>
          <cell r="H18">
            <v>97.433960399999933</v>
          </cell>
          <cell r="I18">
            <v>17.354923110000001</v>
          </cell>
          <cell r="J18">
            <v>17.354923110000001</v>
          </cell>
          <cell r="K18">
            <v>77.025702599999988</v>
          </cell>
          <cell r="L18">
            <v>-38.480837400000091</v>
          </cell>
          <cell r="M18">
            <v>264.71997071999988</v>
          </cell>
          <cell r="O18">
            <v>132.36597071999986</v>
          </cell>
        </row>
        <row r="20">
          <cell r="P20">
            <v>0.49996355378765922</v>
          </cell>
        </row>
      </sheetData>
      <sheetData sheetId="3">
        <row r="7">
          <cell r="A7">
            <v>41425</v>
          </cell>
          <cell r="C7">
            <v>7.7174999999999994E-2</v>
          </cell>
          <cell r="D7">
            <v>1.819272</v>
          </cell>
          <cell r="E7">
            <v>0</v>
          </cell>
          <cell r="F7">
            <v>0.16978499999999999</v>
          </cell>
          <cell r="G7">
            <v>2.0065499999999998</v>
          </cell>
          <cell r="H7">
            <v>3.3113219999999988</v>
          </cell>
          <cell r="I7">
            <v>0.23101049999999998</v>
          </cell>
          <cell r="J7">
            <v>0.23101049999999998</v>
          </cell>
          <cell r="K7">
            <v>1.8336779999999999</v>
          </cell>
          <cell r="L7">
            <v>0.61019700000000132</v>
          </cell>
        </row>
        <row r="8">
          <cell r="A8">
            <v>41455</v>
          </cell>
          <cell r="C8">
            <v>6.4350000000000004E-2</v>
          </cell>
          <cell r="D8">
            <v>1.5169440000000001</v>
          </cell>
          <cell r="E8">
            <v>0</v>
          </cell>
          <cell r="F8">
            <v>0.14157</v>
          </cell>
          <cell r="G8">
            <v>1.6731</v>
          </cell>
          <cell r="H8">
            <v>2.7610439999999992</v>
          </cell>
          <cell r="I8">
            <v>0.19262100000000001</v>
          </cell>
          <cell r="J8">
            <v>0.19262100000000001</v>
          </cell>
          <cell r="K8">
            <v>1.528956</v>
          </cell>
          <cell r="L8">
            <v>0.50879400000000108</v>
          </cell>
        </row>
        <row r="9">
          <cell r="A9">
            <v>41486</v>
          </cell>
          <cell r="C9">
            <v>6.5174999999999997E-2</v>
          </cell>
          <cell r="D9">
            <v>1.536392</v>
          </cell>
          <cell r="E9">
            <v>0</v>
          </cell>
          <cell r="F9">
            <v>0.14338499999999998</v>
          </cell>
          <cell r="G9">
            <v>1.69455</v>
          </cell>
          <cell r="H9">
            <v>2.7964419999999981</v>
          </cell>
          <cell r="I9">
            <v>0.1950905</v>
          </cell>
          <cell r="J9">
            <v>0.1950905</v>
          </cell>
          <cell r="K9">
            <v>1.5485579999999999</v>
          </cell>
          <cell r="L9">
            <v>0.51531700000000114</v>
          </cell>
        </row>
        <row r="10">
          <cell r="A10">
            <v>41517</v>
          </cell>
          <cell r="C10">
            <v>5.4524999999999997E-2</v>
          </cell>
          <cell r="D10">
            <v>1.285336</v>
          </cell>
          <cell r="E10">
            <v>0</v>
          </cell>
          <cell r="F10">
            <v>0.11995499999999999</v>
          </cell>
          <cell r="G10">
            <v>1.4176499999999999</v>
          </cell>
          <cell r="H10">
            <v>2.3394859999999991</v>
          </cell>
          <cell r="I10">
            <v>0.16321150000000001</v>
          </cell>
          <cell r="J10">
            <v>0.16321150000000001</v>
          </cell>
          <cell r="K10">
            <v>1.2955139999999998</v>
          </cell>
          <cell r="L10">
            <v>0.43111100000000091</v>
          </cell>
        </row>
        <row r="11">
          <cell r="A11">
            <v>41547</v>
          </cell>
          <cell r="C11">
            <v>6.8025000000000002E-2</v>
          </cell>
          <cell r="D11">
            <v>1.6035760000000001</v>
          </cell>
          <cell r="E11">
            <v>0</v>
          </cell>
          <cell r="F11">
            <v>0.14965500000000001</v>
          </cell>
          <cell r="G11">
            <v>1.7686500000000001</v>
          </cell>
          <cell r="H11">
            <v>2.9187259999999977</v>
          </cell>
          <cell r="I11">
            <v>0.20362150000000001</v>
          </cell>
          <cell r="J11">
            <v>0.20362150000000001</v>
          </cell>
          <cell r="K11">
            <v>1.616274</v>
          </cell>
          <cell r="L11">
            <v>0.53785100000000119</v>
          </cell>
        </row>
        <row r="12">
          <cell r="A12">
            <v>41578</v>
          </cell>
          <cell r="C12">
            <v>6.1424999999999993E-2</v>
          </cell>
          <cell r="D12">
            <v>1.4479919999999999</v>
          </cell>
          <cell r="E12">
            <v>0</v>
          </cell>
          <cell r="F12">
            <v>0.13513500000000001</v>
          </cell>
          <cell r="G12">
            <v>1.5970499999999999</v>
          </cell>
          <cell r="H12">
            <v>2.6355419999999983</v>
          </cell>
          <cell r="I12">
            <v>0.18386549999999999</v>
          </cell>
          <cell r="J12">
            <v>0.18386549999999999</v>
          </cell>
          <cell r="K12">
            <v>1.4594579999999999</v>
          </cell>
          <cell r="L12">
            <v>0.48566700000000101</v>
          </cell>
        </row>
        <row r="13">
          <cell r="A13">
            <v>41608</v>
          </cell>
          <cell r="C13">
            <v>5.6249999999999994E-2</v>
          </cell>
          <cell r="D13">
            <v>1.3260000000000001</v>
          </cell>
          <cell r="E13">
            <v>0</v>
          </cell>
          <cell r="F13">
            <v>0.12375</v>
          </cell>
          <cell r="G13">
            <v>1.4625000000000001</v>
          </cell>
          <cell r="H13">
            <v>2.4134999999999991</v>
          </cell>
          <cell r="I13">
            <v>0.168375</v>
          </cell>
          <cell r="J13">
            <v>0.168375</v>
          </cell>
          <cell r="K13">
            <v>1.3365</v>
          </cell>
          <cell r="L13">
            <v>0.44475000000000098</v>
          </cell>
        </row>
        <row r="14">
          <cell r="A14">
            <v>41639</v>
          </cell>
          <cell r="C14">
            <v>6.6750000000000004E-2</v>
          </cell>
          <cell r="D14">
            <v>1.5735200000000003</v>
          </cell>
          <cell r="E14">
            <v>0</v>
          </cell>
          <cell r="F14">
            <v>0.14685000000000001</v>
          </cell>
          <cell r="G14">
            <v>1.7355</v>
          </cell>
          <cell r="H14">
            <v>2.8640199999999991</v>
          </cell>
          <cell r="I14">
            <v>0.19980500000000001</v>
          </cell>
          <cell r="J14">
            <v>0.19980500000000001</v>
          </cell>
          <cell r="K14">
            <v>1.5859799999999999</v>
          </cell>
          <cell r="L14">
            <v>0.52777000000000118</v>
          </cell>
        </row>
        <row r="15">
          <cell r="A15">
            <v>41670</v>
          </cell>
          <cell r="C15">
            <v>4.7774999999999998E-2</v>
          </cell>
          <cell r="D15">
            <v>1.1262160000000001</v>
          </cell>
          <cell r="E15">
            <v>0</v>
          </cell>
          <cell r="F15">
            <v>0.105105</v>
          </cell>
          <cell r="G15">
            <v>1.2421500000000001</v>
          </cell>
          <cell r="H15">
            <v>2.049865999999998</v>
          </cell>
          <cell r="I15">
            <v>0.14300650000000001</v>
          </cell>
          <cell r="J15">
            <v>0.14300650000000001</v>
          </cell>
          <cell r="K15">
            <v>1.1351340000000001</v>
          </cell>
          <cell r="L15">
            <v>0.37774100000000083</v>
          </cell>
        </row>
        <row r="16">
          <cell r="A16">
            <v>41698</v>
          </cell>
          <cell r="C16">
            <v>3.8399999999999997E-2</v>
          </cell>
          <cell r="D16">
            <v>0.90521600000000013</v>
          </cell>
          <cell r="E16">
            <v>0</v>
          </cell>
          <cell r="F16">
            <v>8.448E-2</v>
          </cell>
          <cell r="G16">
            <v>0.99840000000000007</v>
          </cell>
          <cell r="H16">
            <v>1.6476159999999989</v>
          </cell>
          <cell r="I16">
            <v>0.114944</v>
          </cell>
          <cell r="J16">
            <v>0.114944</v>
          </cell>
          <cell r="K16">
            <v>0.91238399999999997</v>
          </cell>
          <cell r="L16">
            <v>0.30361600000000066</v>
          </cell>
        </row>
        <row r="17">
          <cell r="A17">
            <v>41729</v>
          </cell>
          <cell r="C17">
            <v>4.9950000000000001E-2</v>
          </cell>
          <cell r="D17">
            <v>1.1774880000000001</v>
          </cell>
          <cell r="E17">
            <v>0</v>
          </cell>
          <cell r="F17">
            <v>0.10989</v>
          </cell>
          <cell r="G17">
            <v>1.2987</v>
          </cell>
          <cell r="H17">
            <v>2.1431879999999994</v>
          </cell>
          <cell r="I17">
            <v>0.14951700000000001</v>
          </cell>
          <cell r="J17">
            <v>0.14951700000000001</v>
          </cell>
          <cell r="K17">
            <v>1.186812</v>
          </cell>
          <cell r="L17">
            <v>0.3949380000000009</v>
          </cell>
        </row>
        <row r="18">
          <cell r="A18">
            <v>41759</v>
          </cell>
          <cell r="C18">
            <v>4.0500000000000001E-2</v>
          </cell>
          <cell r="D18">
            <v>0.95472000000000012</v>
          </cell>
          <cell r="E18">
            <v>0</v>
          </cell>
          <cell r="F18">
            <v>8.9100000000000013E-2</v>
          </cell>
          <cell r="G18">
            <v>1.0530000000000002</v>
          </cell>
          <cell r="H18">
            <v>1.737719999999999</v>
          </cell>
          <cell r="I18">
            <v>0.12123000000000002</v>
          </cell>
          <cell r="J18">
            <v>0.12123000000000002</v>
          </cell>
          <cell r="K18">
            <v>0.96228000000000002</v>
          </cell>
          <cell r="L18">
            <v>0.32022000000000073</v>
          </cell>
        </row>
      </sheetData>
      <sheetData sheetId="4">
        <row r="7">
          <cell r="A7">
            <v>41425</v>
          </cell>
          <cell r="C7">
            <v>1078.0139999999999</v>
          </cell>
          <cell r="D7">
            <v>-15.18</v>
          </cell>
          <cell r="E7">
            <v>-120.17</v>
          </cell>
          <cell r="F7">
            <v>80.184999999999988</v>
          </cell>
          <cell r="G7">
            <v>75.095999999999989</v>
          </cell>
          <cell r="H7">
            <v>70.069999999999993</v>
          </cell>
          <cell r="I7">
            <v>189.09099999999998</v>
          </cell>
          <cell r="J7">
            <v>189.09099999999998</v>
          </cell>
          <cell r="K7">
            <v>99.538013913363088</v>
          </cell>
          <cell r="L7">
            <v>-120.17</v>
          </cell>
        </row>
        <row r="8">
          <cell r="A8">
            <v>41455</v>
          </cell>
          <cell r="C8">
            <v>1048.7190000000001</v>
          </cell>
          <cell r="D8">
            <v>-6.98</v>
          </cell>
          <cell r="E8">
            <v>-120.17</v>
          </cell>
          <cell r="F8">
            <v>74.192999999999998</v>
          </cell>
          <cell r="G8">
            <v>73.835999999999999</v>
          </cell>
          <cell r="H8">
            <v>68.361999999999995</v>
          </cell>
          <cell r="I8">
            <v>190.60999999999999</v>
          </cell>
          <cell r="J8">
            <v>190.60999999999999</v>
          </cell>
          <cell r="K8">
            <v>95.647999999999982</v>
          </cell>
          <cell r="L8">
            <v>-120.17</v>
          </cell>
        </row>
        <row r="9">
          <cell r="A9">
            <v>41486</v>
          </cell>
          <cell r="C9">
            <v>1082.5429999999999</v>
          </cell>
          <cell r="D9">
            <v>-7.6</v>
          </cell>
          <cell r="E9">
            <v>-120.17</v>
          </cell>
          <cell r="F9">
            <v>73.751999999999995</v>
          </cell>
          <cell r="G9">
            <v>74.444999999999993</v>
          </cell>
          <cell r="H9">
            <v>68.417999999999992</v>
          </cell>
          <cell r="I9">
            <v>213.80799999999999</v>
          </cell>
          <cell r="J9">
            <v>213.80799999999999</v>
          </cell>
          <cell r="K9">
            <v>101.63999999999999</v>
          </cell>
          <cell r="L9">
            <v>-120.17</v>
          </cell>
        </row>
        <row r="10">
          <cell r="A10">
            <v>41517</v>
          </cell>
          <cell r="C10">
            <v>1138.1859999999999</v>
          </cell>
          <cell r="D10">
            <v>-8.7100000000000009</v>
          </cell>
          <cell r="E10">
            <v>-120.17</v>
          </cell>
          <cell r="F10">
            <v>73.254999999999995</v>
          </cell>
          <cell r="G10">
            <v>73.695999999999998</v>
          </cell>
          <cell r="H10">
            <v>68.018999999999991</v>
          </cell>
          <cell r="I10">
            <v>216.37</v>
          </cell>
          <cell r="J10">
            <v>216.37</v>
          </cell>
          <cell r="K10">
            <v>98.993999999999986</v>
          </cell>
          <cell r="L10">
            <v>-120.17</v>
          </cell>
        </row>
        <row r="11">
          <cell r="A11">
            <v>41547</v>
          </cell>
          <cell r="C11">
            <v>1150.8559999999998</v>
          </cell>
          <cell r="D11">
            <v>2.6</v>
          </cell>
          <cell r="E11">
            <v>-120.17</v>
          </cell>
          <cell r="F11">
            <v>76.705999999999989</v>
          </cell>
          <cell r="G11">
            <v>67.003999999999991</v>
          </cell>
          <cell r="H11">
            <v>62.811</v>
          </cell>
          <cell r="I11">
            <v>238.16799999999998</v>
          </cell>
          <cell r="J11">
            <v>238.16799999999998</v>
          </cell>
          <cell r="K11">
            <v>91.475999999999999</v>
          </cell>
          <cell r="L11">
            <v>-120.17</v>
          </cell>
        </row>
        <row r="12">
          <cell r="A12">
            <v>41578</v>
          </cell>
          <cell r="C12">
            <v>1124.4870000000001</v>
          </cell>
          <cell r="D12">
            <v>0.99399999999999988</v>
          </cell>
          <cell r="E12">
            <v>-120.17</v>
          </cell>
          <cell r="F12">
            <v>61.949999999999996</v>
          </cell>
          <cell r="G12">
            <v>68.453000000000003</v>
          </cell>
          <cell r="H12">
            <v>60.717999999999989</v>
          </cell>
          <cell r="I12">
            <v>230.12499999999997</v>
          </cell>
          <cell r="J12">
            <v>230.12499999999997</v>
          </cell>
          <cell r="K12">
            <v>95.332999999999998</v>
          </cell>
          <cell r="L12">
            <v>-120.17</v>
          </cell>
        </row>
        <row r="13">
          <cell r="A13">
            <v>41608</v>
          </cell>
          <cell r="C13">
            <v>1232</v>
          </cell>
          <cell r="D13">
            <v>-2.9539999999999997</v>
          </cell>
          <cell r="E13">
            <v>-120.17</v>
          </cell>
          <cell r="F13">
            <v>52.856999999999999</v>
          </cell>
          <cell r="G13">
            <v>63.755999999999993</v>
          </cell>
          <cell r="H13">
            <v>56.370999999999995</v>
          </cell>
          <cell r="I13">
            <v>209.37700000000001</v>
          </cell>
          <cell r="J13">
            <v>209.37700000000001</v>
          </cell>
          <cell r="K13">
            <v>93.1</v>
          </cell>
          <cell r="L13">
            <v>-120.17</v>
          </cell>
        </row>
        <row r="14">
          <cell r="A14">
            <v>41639</v>
          </cell>
          <cell r="C14">
            <v>1190</v>
          </cell>
          <cell r="D14">
            <v>-4.7669999999999995</v>
          </cell>
          <cell r="E14">
            <v>-120.17</v>
          </cell>
          <cell r="F14">
            <v>53.297999999999995</v>
          </cell>
          <cell r="G14">
            <v>60.780999999999992</v>
          </cell>
          <cell r="H14">
            <v>53.717999999999996</v>
          </cell>
          <cell r="I14">
            <v>171.57</v>
          </cell>
          <cell r="J14">
            <v>171.57</v>
          </cell>
          <cell r="K14">
            <v>88.647999999999996</v>
          </cell>
          <cell r="L14">
            <v>-120.17</v>
          </cell>
        </row>
        <row r="15">
          <cell r="A15">
            <v>41670</v>
          </cell>
          <cell r="C15">
            <v>1106</v>
          </cell>
          <cell r="D15">
            <v>-3.9339999999999997</v>
          </cell>
          <cell r="E15">
            <v>-120.17</v>
          </cell>
          <cell r="F15">
            <v>53.024999999999999</v>
          </cell>
          <cell r="G15">
            <v>59.100999999999999</v>
          </cell>
          <cell r="H15">
            <v>53.255999999999993</v>
          </cell>
          <cell r="I15">
            <v>130.49399999999997</v>
          </cell>
          <cell r="J15">
            <v>130.49399999999997</v>
          </cell>
          <cell r="K15">
            <v>85.644999999999996</v>
          </cell>
          <cell r="L15">
            <v>-120.17</v>
          </cell>
        </row>
        <row r="16">
          <cell r="A16">
            <v>41698</v>
          </cell>
          <cell r="C16">
            <v>1095.4089999999999</v>
          </cell>
          <cell r="D16">
            <v>-9.113999999999999</v>
          </cell>
          <cell r="E16">
            <v>-120.17</v>
          </cell>
          <cell r="F16">
            <v>39.094999999999999</v>
          </cell>
          <cell r="G16">
            <v>58.519999999999989</v>
          </cell>
          <cell r="H16">
            <v>51.967999999999996</v>
          </cell>
          <cell r="I16">
            <v>104.23699999999999</v>
          </cell>
          <cell r="J16">
            <v>104.23699999999999</v>
          </cell>
          <cell r="K16">
            <v>73.444000000000003</v>
          </cell>
          <cell r="L16">
            <v>-120.17</v>
          </cell>
        </row>
        <row r="17">
          <cell r="A17">
            <v>41729</v>
          </cell>
          <cell r="C17">
            <v>1041.194</v>
          </cell>
          <cell r="D17">
            <v>-5.194</v>
          </cell>
          <cell r="E17">
            <v>-120.17</v>
          </cell>
          <cell r="F17">
            <v>39.753</v>
          </cell>
          <cell r="G17">
            <v>59.919999999999995</v>
          </cell>
          <cell r="H17">
            <v>56.069999999999993</v>
          </cell>
          <cell r="I17">
            <v>119.26599999999999</v>
          </cell>
          <cell r="J17">
            <v>119.26599999999999</v>
          </cell>
          <cell r="K17">
            <v>71.742999999999995</v>
          </cell>
          <cell r="L17">
            <v>-120.17</v>
          </cell>
        </row>
        <row r="18">
          <cell r="A18">
            <v>41759</v>
          </cell>
          <cell r="C18">
            <v>970.33299999999997</v>
          </cell>
          <cell r="D18">
            <v>-13.93</v>
          </cell>
          <cell r="E18">
            <v>-120.17</v>
          </cell>
          <cell r="F18">
            <v>39.269999999999996</v>
          </cell>
          <cell r="G18">
            <v>61.284999999999997</v>
          </cell>
          <cell r="H18">
            <v>56.069999999999993</v>
          </cell>
          <cell r="I18">
            <v>143.15699999999998</v>
          </cell>
          <cell r="J18">
            <v>143.15699999999998</v>
          </cell>
          <cell r="K18">
            <v>80.044999999999987</v>
          </cell>
          <cell r="L18">
            <v>-120.17</v>
          </cell>
        </row>
      </sheetData>
      <sheetData sheetId="5">
        <row r="6">
          <cell r="C6">
            <v>41425</v>
          </cell>
          <cell r="D6">
            <v>41455</v>
          </cell>
          <cell r="E6">
            <v>41486</v>
          </cell>
          <cell r="F6">
            <v>41517</v>
          </cell>
          <cell r="G6">
            <v>41547</v>
          </cell>
          <cell r="H6">
            <v>41578</v>
          </cell>
          <cell r="I6">
            <v>41608</v>
          </cell>
          <cell r="J6">
            <v>41639</v>
          </cell>
          <cell r="K6">
            <v>41670</v>
          </cell>
          <cell r="L6">
            <v>41698</v>
          </cell>
          <cell r="M6">
            <v>41729</v>
          </cell>
          <cell r="N6">
            <v>41759</v>
          </cell>
        </row>
        <row r="7">
          <cell r="C7">
            <v>10.29</v>
          </cell>
          <cell r="D7">
            <v>8.58</v>
          </cell>
          <cell r="E7">
            <v>8.69</v>
          </cell>
          <cell r="F7">
            <v>7.27</v>
          </cell>
          <cell r="G7">
            <v>9.07</v>
          </cell>
          <cell r="H7">
            <v>8.19</v>
          </cell>
          <cell r="I7">
            <v>7.5</v>
          </cell>
          <cell r="J7">
            <v>8.9</v>
          </cell>
          <cell r="K7">
            <v>6.37</v>
          </cell>
          <cell r="L7">
            <v>5.12</v>
          </cell>
          <cell r="M7">
            <v>6.66</v>
          </cell>
          <cell r="N7">
            <v>5.4</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0">
          <cell r="C10">
            <v>10.29</v>
          </cell>
          <cell r="D10">
            <v>8.58</v>
          </cell>
          <cell r="E10">
            <v>8.69</v>
          </cell>
          <cell r="F10">
            <v>7.27</v>
          </cell>
          <cell r="G10">
            <v>9.07</v>
          </cell>
          <cell r="H10">
            <v>8.19</v>
          </cell>
          <cell r="I10">
            <v>7.5</v>
          </cell>
          <cell r="J10">
            <v>8.9</v>
          </cell>
          <cell r="K10">
            <v>6.37</v>
          </cell>
          <cell r="L10">
            <v>5.12</v>
          </cell>
          <cell r="M10">
            <v>6.66</v>
          </cell>
          <cell r="N10">
            <v>5.4</v>
          </cell>
        </row>
        <row r="13">
          <cell r="C13">
            <v>0.19500000000000001</v>
          </cell>
          <cell r="D13">
            <v>0.19500000000000001</v>
          </cell>
          <cell r="E13">
            <v>0.19500000000000001</v>
          </cell>
          <cell r="F13">
            <v>0.19500000000000001</v>
          </cell>
          <cell r="G13">
            <v>0.19500000000000001</v>
          </cell>
          <cell r="H13">
            <v>0.19500000000000001</v>
          </cell>
          <cell r="I13">
            <v>0.19500000000000001</v>
          </cell>
          <cell r="J13">
            <v>0.19500000000000001</v>
          </cell>
          <cell r="K13">
            <v>0.19500000000000001</v>
          </cell>
          <cell r="L13">
            <v>0.19500000000000001</v>
          </cell>
          <cell r="M13">
            <v>0.19500000000000001</v>
          </cell>
          <cell r="N13">
            <v>0.19500000000000001</v>
          </cell>
        </row>
        <row r="14">
          <cell r="C14">
            <v>0.1782</v>
          </cell>
          <cell r="D14">
            <v>0.1782</v>
          </cell>
          <cell r="E14">
            <v>0.1782</v>
          </cell>
          <cell r="F14">
            <v>0.1782</v>
          </cell>
          <cell r="G14">
            <v>0.1782</v>
          </cell>
          <cell r="H14">
            <v>0.1782</v>
          </cell>
          <cell r="I14">
            <v>0.1782</v>
          </cell>
          <cell r="J14">
            <v>0.1782</v>
          </cell>
          <cell r="K14">
            <v>0.1782</v>
          </cell>
          <cell r="L14">
            <v>0.1782</v>
          </cell>
          <cell r="M14">
            <v>0.1782</v>
          </cell>
          <cell r="N14">
            <v>0.1782</v>
          </cell>
        </row>
        <row r="15">
          <cell r="C15">
            <v>0</v>
          </cell>
          <cell r="D15">
            <v>0</v>
          </cell>
          <cell r="E15">
            <v>0</v>
          </cell>
          <cell r="F15">
            <v>0</v>
          </cell>
          <cell r="G15">
            <v>0</v>
          </cell>
          <cell r="H15">
            <v>0</v>
          </cell>
          <cell r="I15">
            <v>0</v>
          </cell>
          <cell r="J15">
            <v>0</v>
          </cell>
          <cell r="K15">
            <v>0</v>
          </cell>
          <cell r="L15">
            <v>0</v>
          </cell>
          <cell r="M15">
            <v>0</v>
          </cell>
          <cell r="N15">
            <v>0</v>
          </cell>
        </row>
        <row r="16">
          <cell r="C16">
            <v>1.6500000000000001E-2</v>
          </cell>
          <cell r="D16">
            <v>1.6500000000000001E-2</v>
          </cell>
          <cell r="E16">
            <v>1.6500000000000001E-2</v>
          </cell>
          <cell r="F16">
            <v>1.6500000000000001E-2</v>
          </cell>
          <cell r="G16">
            <v>1.6500000000000001E-2</v>
          </cell>
          <cell r="H16">
            <v>1.6500000000000001E-2</v>
          </cell>
          <cell r="I16">
            <v>1.6500000000000001E-2</v>
          </cell>
          <cell r="J16">
            <v>1.6500000000000001E-2</v>
          </cell>
          <cell r="K16">
            <v>1.6500000000000001E-2</v>
          </cell>
          <cell r="L16">
            <v>1.6500000000000001E-2</v>
          </cell>
          <cell r="M16">
            <v>1.6500000000000001E-2</v>
          </cell>
          <cell r="N16">
            <v>1.6500000000000001E-2</v>
          </cell>
        </row>
        <row r="17">
          <cell r="C17">
            <v>4.4900000000000002E-2</v>
          </cell>
          <cell r="D17">
            <v>4.4900000000000002E-2</v>
          </cell>
          <cell r="E17">
            <v>4.4900000000000002E-2</v>
          </cell>
          <cell r="F17">
            <v>4.4900000000000002E-2</v>
          </cell>
          <cell r="G17">
            <v>4.4900000000000002E-2</v>
          </cell>
          <cell r="H17">
            <v>4.4900000000000002E-2</v>
          </cell>
          <cell r="I17">
            <v>4.4900000000000002E-2</v>
          </cell>
          <cell r="J17">
            <v>4.4900000000000002E-2</v>
          </cell>
          <cell r="K17">
            <v>4.4900000000000002E-2</v>
          </cell>
          <cell r="L17">
            <v>4.4900000000000002E-2</v>
          </cell>
          <cell r="M17">
            <v>4.4900000000000002E-2</v>
          </cell>
          <cell r="N17">
            <v>4.4900000000000002E-2</v>
          </cell>
        </row>
        <row r="18">
          <cell r="C18">
            <v>7.4999999999999997E-3</v>
          </cell>
          <cell r="D18">
            <v>7.4999999999999997E-3</v>
          </cell>
          <cell r="E18">
            <v>7.4999999999999997E-3</v>
          </cell>
          <cell r="F18">
            <v>7.4999999999999997E-3</v>
          </cell>
          <cell r="G18">
            <v>7.4999999999999997E-3</v>
          </cell>
          <cell r="H18">
            <v>7.4999999999999997E-3</v>
          </cell>
          <cell r="I18">
            <v>7.4999999999999997E-3</v>
          </cell>
          <cell r="J18">
            <v>7.4999999999999997E-3</v>
          </cell>
          <cell r="K18">
            <v>7.4999999999999997E-3</v>
          </cell>
          <cell r="L18">
            <v>7.4999999999999997E-3</v>
          </cell>
          <cell r="M18">
            <v>7.4999999999999997E-3</v>
          </cell>
          <cell r="N18">
            <v>7.4999999999999997E-3</v>
          </cell>
        </row>
        <row r="19">
          <cell r="C19">
            <v>0</v>
          </cell>
          <cell r="D19">
            <v>0</v>
          </cell>
          <cell r="E19">
            <v>0</v>
          </cell>
          <cell r="F19">
            <v>0</v>
          </cell>
          <cell r="G19">
            <v>0</v>
          </cell>
          <cell r="H19">
            <v>0</v>
          </cell>
          <cell r="I19">
            <v>0</v>
          </cell>
          <cell r="J19">
            <v>0</v>
          </cell>
          <cell r="K19">
            <v>0</v>
          </cell>
          <cell r="L19">
            <v>0</v>
          </cell>
          <cell r="M19">
            <v>0</v>
          </cell>
          <cell r="N19">
            <v>0</v>
          </cell>
        </row>
        <row r="20">
          <cell r="C20">
            <v>0.17680000000000001</v>
          </cell>
          <cell r="D20">
            <v>0.17680000000000001</v>
          </cell>
          <cell r="E20">
            <v>0.17680000000000001</v>
          </cell>
          <cell r="F20">
            <v>0.17680000000000001</v>
          </cell>
          <cell r="G20">
            <v>0.17680000000000001</v>
          </cell>
          <cell r="H20">
            <v>0.17680000000000001</v>
          </cell>
          <cell r="I20">
            <v>0.17680000000000001</v>
          </cell>
          <cell r="J20">
            <v>0.17680000000000001</v>
          </cell>
          <cell r="K20">
            <v>0.17680000000000001</v>
          </cell>
          <cell r="L20">
            <v>0.17680000000000001</v>
          </cell>
          <cell r="M20">
            <v>0.17680000000000001</v>
          </cell>
          <cell r="N20">
            <v>0.17680000000000001</v>
          </cell>
        </row>
        <row r="21">
          <cell r="C21">
            <v>0</v>
          </cell>
          <cell r="D21">
            <v>0</v>
          </cell>
          <cell r="E21">
            <v>0</v>
          </cell>
          <cell r="F21">
            <v>0</v>
          </cell>
          <cell r="G21">
            <v>0</v>
          </cell>
          <cell r="H21">
            <v>0</v>
          </cell>
          <cell r="I21">
            <v>0</v>
          </cell>
          <cell r="J21">
            <v>0</v>
          </cell>
          <cell r="K21">
            <v>0</v>
          </cell>
          <cell r="L21">
            <v>0</v>
          </cell>
          <cell r="M21">
            <v>0</v>
          </cell>
          <cell r="N21">
            <v>0</v>
          </cell>
        </row>
        <row r="22">
          <cell r="C22">
            <v>5.930000000000013E-2</v>
          </cell>
          <cell r="D22">
            <v>5.930000000000013E-2</v>
          </cell>
          <cell r="E22">
            <v>5.930000000000013E-2</v>
          </cell>
          <cell r="F22">
            <v>5.930000000000013E-2</v>
          </cell>
          <cell r="G22">
            <v>5.930000000000013E-2</v>
          </cell>
          <cell r="H22">
            <v>5.930000000000013E-2</v>
          </cell>
          <cell r="I22">
            <v>5.930000000000013E-2</v>
          </cell>
          <cell r="J22">
            <v>5.930000000000013E-2</v>
          </cell>
          <cell r="K22">
            <v>5.930000000000013E-2</v>
          </cell>
          <cell r="L22">
            <v>5.930000000000013E-2</v>
          </cell>
          <cell r="M22">
            <v>5.930000000000013E-2</v>
          </cell>
          <cell r="N22">
            <v>5.930000000000013E-2</v>
          </cell>
        </row>
        <row r="23">
          <cell r="C23">
            <v>0.32179999999999997</v>
          </cell>
          <cell r="D23">
            <v>0.32179999999999997</v>
          </cell>
          <cell r="E23">
            <v>0.32179999999999997</v>
          </cell>
          <cell r="F23">
            <v>0.32179999999999997</v>
          </cell>
          <cell r="G23">
            <v>0.32179999999999997</v>
          </cell>
          <cell r="H23">
            <v>0.32179999999999997</v>
          </cell>
          <cell r="I23">
            <v>0.32179999999999997</v>
          </cell>
          <cell r="J23">
            <v>0.32179999999999997</v>
          </cell>
          <cell r="K23">
            <v>0.32179999999999997</v>
          </cell>
          <cell r="L23">
            <v>0.32179999999999997</v>
          </cell>
          <cell r="M23">
            <v>0.32179999999999997</v>
          </cell>
          <cell r="N23">
            <v>0.32179999999999997</v>
          </cell>
        </row>
        <row r="24">
          <cell r="C24">
            <v>1</v>
          </cell>
          <cell r="D24">
            <v>1</v>
          </cell>
          <cell r="E24">
            <v>1</v>
          </cell>
          <cell r="F24">
            <v>1</v>
          </cell>
          <cell r="G24">
            <v>1</v>
          </cell>
          <cell r="H24">
            <v>1</v>
          </cell>
          <cell r="I24">
            <v>1</v>
          </cell>
          <cell r="J24">
            <v>1</v>
          </cell>
          <cell r="K24">
            <v>1</v>
          </cell>
          <cell r="L24">
            <v>1</v>
          </cell>
          <cell r="M24">
            <v>1</v>
          </cell>
          <cell r="N24">
            <v>1</v>
          </cell>
        </row>
        <row r="27">
          <cell r="C27">
            <v>2.0065499999999998</v>
          </cell>
          <cell r="D27">
            <v>1.6731</v>
          </cell>
          <cell r="E27">
            <v>1.69455</v>
          </cell>
          <cell r="F27">
            <v>1.4176499999999999</v>
          </cell>
          <cell r="G27">
            <v>1.7686500000000001</v>
          </cell>
          <cell r="H27">
            <v>1.5970499999999999</v>
          </cell>
          <cell r="I27">
            <v>1.4625000000000001</v>
          </cell>
          <cell r="J27">
            <v>1.7355</v>
          </cell>
          <cell r="K27">
            <v>1.2421500000000001</v>
          </cell>
          <cell r="L27">
            <v>0.99840000000000007</v>
          </cell>
          <cell r="M27">
            <v>1.2987</v>
          </cell>
          <cell r="N27">
            <v>1.0530000000000002</v>
          </cell>
        </row>
        <row r="28">
          <cell r="C28">
            <v>1.8336779999999999</v>
          </cell>
          <cell r="D28">
            <v>1.528956</v>
          </cell>
          <cell r="E28">
            <v>1.5485579999999999</v>
          </cell>
          <cell r="F28">
            <v>1.2955139999999998</v>
          </cell>
          <cell r="G28">
            <v>1.616274</v>
          </cell>
          <cell r="H28">
            <v>1.4594579999999999</v>
          </cell>
          <cell r="I28">
            <v>1.3365</v>
          </cell>
          <cell r="J28">
            <v>1.5859799999999999</v>
          </cell>
          <cell r="K28">
            <v>1.1351340000000001</v>
          </cell>
          <cell r="L28">
            <v>0.91238399999999997</v>
          </cell>
          <cell r="M28">
            <v>1.186812</v>
          </cell>
          <cell r="N28">
            <v>0.96228000000000002</v>
          </cell>
        </row>
        <row r="29">
          <cell r="C29">
            <v>0</v>
          </cell>
          <cell r="D29">
            <v>0</v>
          </cell>
          <cell r="E29">
            <v>0</v>
          </cell>
          <cell r="F29">
            <v>0</v>
          </cell>
          <cell r="G29">
            <v>0</v>
          </cell>
          <cell r="H29">
            <v>0</v>
          </cell>
          <cell r="I29">
            <v>0</v>
          </cell>
          <cell r="J29">
            <v>0</v>
          </cell>
          <cell r="K29">
            <v>0</v>
          </cell>
          <cell r="L29">
            <v>0</v>
          </cell>
          <cell r="M29">
            <v>0</v>
          </cell>
          <cell r="N29">
            <v>0</v>
          </cell>
        </row>
        <row r="30">
          <cell r="C30">
            <v>0.16978499999999999</v>
          </cell>
          <cell r="D30">
            <v>0.14157</v>
          </cell>
          <cell r="E30">
            <v>0.14338499999999998</v>
          </cell>
          <cell r="F30">
            <v>0.11995499999999999</v>
          </cell>
          <cell r="G30">
            <v>0.14965500000000001</v>
          </cell>
          <cell r="H30">
            <v>0.13513500000000001</v>
          </cell>
          <cell r="I30">
            <v>0.12375</v>
          </cell>
          <cell r="J30">
            <v>0.14685000000000001</v>
          </cell>
          <cell r="K30">
            <v>0.105105</v>
          </cell>
          <cell r="L30">
            <v>8.448E-2</v>
          </cell>
          <cell r="M30">
            <v>0.10989</v>
          </cell>
          <cell r="N30">
            <v>8.9100000000000013E-2</v>
          </cell>
        </row>
        <row r="31">
          <cell r="C31">
            <v>0.46202099999999996</v>
          </cell>
          <cell r="D31">
            <v>0.38524200000000003</v>
          </cell>
          <cell r="E31">
            <v>0.390181</v>
          </cell>
          <cell r="F31">
            <v>0.32642300000000002</v>
          </cell>
          <cell r="G31">
            <v>0.40724300000000002</v>
          </cell>
          <cell r="H31">
            <v>0.36773099999999997</v>
          </cell>
          <cell r="I31">
            <v>0.33674999999999999</v>
          </cell>
          <cell r="J31">
            <v>0.39961000000000002</v>
          </cell>
          <cell r="K31">
            <v>0.28601300000000002</v>
          </cell>
          <cell r="L31">
            <v>0.22988800000000001</v>
          </cell>
          <cell r="M31">
            <v>0.29903400000000002</v>
          </cell>
          <cell r="N31">
            <v>0.24246000000000004</v>
          </cell>
        </row>
        <row r="32">
          <cell r="C32">
            <v>7.7174999999999994E-2</v>
          </cell>
          <cell r="D32">
            <v>6.4350000000000004E-2</v>
          </cell>
          <cell r="E32">
            <v>6.5174999999999997E-2</v>
          </cell>
          <cell r="F32">
            <v>5.4524999999999997E-2</v>
          </cell>
          <cell r="G32">
            <v>6.8025000000000002E-2</v>
          </cell>
          <cell r="H32">
            <v>6.1424999999999993E-2</v>
          </cell>
          <cell r="I32">
            <v>5.6249999999999994E-2</v>
          </cell>
          <cell r="J32">
            <v>6.6750000000000004E-2</v>
          </cell>
          <cell r="K32">
            <v>4.7774999999999998E-2</v>
          </cell>
          <cell r="L32">
            <v>3.8399999999999997E-2</v>
          </cell>
          <cell r="M32">
            <v>4.9950000000000001E-2</v>
          </cell>
          <cell r="N32">
            <v>4.0500000000000001E-2</v>
          </cell>
        </row>
        <row r="33">
          <cell r="C33">
            <v>0</v>
          </cell>
          <cell r="D33">
            <v>0</v>
          </cell>
          <cell r="E33">
            <v>0</v>
          </cell>
          <cell r="F33">
            <v>0</v>
          </cell>
          <cell r="G33">
            <v>0</v>
          </cell>
          <cell r="H33">
            <v>0</v>
          </cell>
          <cell r="I33">
            <v>0</v>
          </cell>
          <cell r="J33">
            <v>0</v>
          </cell>
          <cell r="K33">
            <v>0</v>
          </cell>
          <cell r="L33">
            <v>0</v>
          </cell>
          <cell r="M33">
            <v>0</v>
          </cell>
          <cell r="N33">
            <v>0</v>
          </cell>
        </row>
        <row r="34">
          <cell r="C34">
            <v>1.819272</v>
          </cell>
          <cell r="D34">
            <v>1.5169440000000001</v>
          </cell>
          <cell r="E34">
            <v>1.536392</v>
          </cell>
          <cell r="F34">
            <v>1.285336</v>
          </cell>
          <cell r="G34">
            <v>1.6035760000000001</v>
          </cell>
          <cell r="H34">
            <v>1.4479919999999999</v>
          </cell>
          <cell r="I34">
            <v>1.3260000000000001</v>
          </cell>
          <cell r="J34">
            <v>1.5735200000000003</v>
          </cell>
          <cell r="K34">
            <v>1.1262160000000001</v>
          </cell>
          <cell r="L34">
            <v>0.90521600000000013</v>
          </cell>
          <cell r="M34">
            <v>1.1774880000000001</v>
          </cell>
          <cell r="N34">
            <v>0.95472000000000012</v>
          </cell>
        </row>
        <row r="35">
          <cell r="C35">
            <v>0</v>
          </cell>
          <cell r="D35">
            <v>0</v>
          </cell>
          <cell r="E35">
            <v>0</v>
          </cell>
          <cell r="F35">
            <v>0</v>
          </cell>
          <cell r="G35">
            <v>0</v>
          </cell>
          <cell r="H35">
            <v>0</v>
          </cell>
          <cell r="I35">
            <v>0</v>
          </cell>
          <cell r="J35">
            <v>0</v>
          </cell>
          <cell r="K35">
            <v>0</v>
          </cell>
          <cell r="L35">
            <v>0</v>
          </cell>
          <cell r="M35">
            <v>0</v>
          </cell>
          <cell r="N35">
            <v>0</v>
          </cell>
        </row>
        <row r="36">
          <cell r="C36">
            <v>0.61019700000000132</v>
          </cell>
          <cell r="D36">
            <v>0.50879400000000108</v>
          </cell>
          <cell r="E36">
            <v>0.51531700000000114</v>
          </cell>
          <cell r="F36">
            <v>0.43111100000000091</v>
          </cell>
          <cell r="G36">
            <v>0.53785100000000119</v>
          </cell>
          <cell r="H36">
            <v>0.48566700000000101</v>
          </cell>
          <cell r="I36">
            <v>0.44475000000000098</v>
          </cell>
          <cell r="J36">
            <v>0.52777000000000118</v>
          </cell>
          <cell r="K36">
            <v>0.37774100000000083</v>
          </cell>
          <cell r="L36">
            <v>0.30361600000000066</v>
          </cell>
          <cell r="M36">
            <v>0.3949380000000009</v>
          </cell>
          <cell r="N36">
            <v>0.32022000000000073</v>
          </cell>
        </row>
        <row r="37">
          <cell r="C37">
            <v>3.3113219999999997</v>
          </cell>
          <cell r="D37">
            <v>2.7610439999999996</v>
          </cell>
          <cell r="E37">
            <v>2.7964419999999994</v>
          </cell>
          <cell r="F37">
            <v>2.3394859999999995</v>
          </cell>
          <cell r="G37">
            <v>2.9187259999999999</v>
          </cell>
          <cell r="H37">
            <v>2.6355419999999996</v>
          </cell>
          <cell r="I37">
            <v>2.4135</v>
          </cell>
          <cell r="J37">
            <v>2.86402</v>
          </cell>
          <cell r="K37">
            <v>2.0498659999999997</v>
          </cell>
          <cell r="L37">
            <v>1.647616</v>
          </cell>
          <cell r="M37">
            <v>2.1431879999999999</v>
          </cell>
          <cell r="N37">
            <v>1.7377199999999999</v>
          </cell>
        </row>
        <row r="38">
          <cell r="C38">
            <v>10.29</v>
          </cell>
          <cell r="D38">
            <v>8.58</v>
          </cell>
          <cell r="E38">
            <v>8.6900000000000013</v>
          </cell>
          <cell r="F38">
            <v>7.27</v>
          </cell>
          <cell r="G38">
            <v>9.0700000000000021</v>
          </cell>
          <cell r="H38">
            <v>8.1900000000000013</v>
          </cell>
          <cell r="I38">
            <v>7.5000000000000009</v>
          </cell>
          <cell r="J38">
            <v>8.9000000000000021</v>
          </cell>
          <cell r="K38">
            <v>6.3700000000000019</v>
          </cell>
          <cell r="L38">
            <v>5.120000000000001</v>
          </cell>
          <cell r="M38">
            <v>6.66</v>
          </cell>
          <cell r="N38">
            <v>5.4000000000000012</v>
          </cell>
        </row>
        <row r="41">
          <cell r="C41">
            <v>1</v>
          </cell>
          <cell r="D41">
            <v>1</v>
          </cell>
          <cell r="E41">
            <v>1</v>
          </cell>
          <cell r="F41">
            <v>1</v>
          </cell>
          <cell r="G41">
            <v>1</v>
          </cell>
          <cell r="H41">
            <v>1</v>
          </cell>
          <cell r="I41">
            <v>1</v>
          </cell>
          <cell r="J41">
            <v>1</v>
          </cell>
          <cell r="K41">
            <v>1</v>
          </cell>
          <cell r="L41">
            <v>1</v>
          </cell>
          <cell r="M41">
            <v>1</v>
          </cell>
          <cell r="N41">
            <v>1</v>
          </cell>
        </row>
        <row r="42">
          <cell r="C42">
            <v>1</v>
          </cell>
          <cell r="D42">
            <v>1</v>
          </cell>
          <cell r="E42">
            <v>1</v>
          </cell>
          <cell r="F42">
            <v>1</v>
          </cell>
          <cell r="G42">
            <v>1</v>
          </cell>
          <cell r="H42">
            <v>1</v>
          </cell>
          <cell r="I42">
            <v>1</v>
          </cell>
          <cell r="J42">
            <v>1</v>
          </cell>
          <cell r="K42">
            <v>1</v>
          </cell>
          <cell r="L42">
            <v>1</v>
          </cell>
          <cell r="M42">
            <v>1</v>
          </cell>
          <cell r="N42">
            <v>1</v>
          </cell>
        </row>
        <row r="43">
          <cell r="C43">
            <v>1</v>
          </cell>
          <cell r="D43">
            <v>1</v>
          </cell>
          <cell r="E43">
            <v>1</v>
          </cell>
          <cell r="F43">
            <v>1</v>
          </cell>
          <cell r="G43">
            <v>1</v>
          </cell>
          <cell r="H43">
            <v>1</v>
          </cell>
          <cell r="I43">
            <v>1</v>
          </cell>
          <cell r="J43">
            <v>1</v>
          </cell>
          <cell r="K43">
            <v>1</v>
          </cell>
          <cell r="L43">
            <v>1</v>
          </cell>
          <cell r="M43">
            <v>1</v>
          </cell>
          <cell r="N43">
            <v>1</v>
          </cell>
        </row>
        <row r="44">
          <cell r="C44">
            <v>1</v>
          </cell>
          <cell r="D44">
            <v>1</v>
          </cell>
          <cell r="E44">
            <v>1</v>
          </cell>
          <cell r="F44">
            <v>1</v>
          </cell>
          <cell r="G44">
            <v>1</v>
          </cell>
          <cell r="H44">
            <v>1</v>
          </cell>
          <cell r="I44">
            <v>1</v>
          </cell>
          <cell r="J44">
            <v>1</v>
          </cell>
          <cell r="K44">
            <v>1</v>
          </cell>
          <cell r="L44">
            <v>1</v>
          </cell>
          <cell r="M44">
            <v>1</v>
          </cell>
          <cell r="N44">
            <v>1</v>
          </cell>
        </row>
        <row r="45">
          <cell r="C45">
            <v>1</v>
          </cell>
          <cell r="D45">
            <v>1</v>
          </cell>
          <cell r="E45">
            <v>1</v>
          </cell>
          <cell r="F45">
            <v>1</v>
          </cell>
          <cell r="G45">
            <v>1</v>
          </cell>
          <cell r="H45">
            <v>1</v>
          </cell>
          <cell r="I45">
            <v>1</v>
          </cell>
          <cell r="J45">
            <v>1</v>
          </cell>
          <cell r="K45">
            <v>1</v>
          </cell>
          <cell r="L45">
            <v>1</v>
          </cell>
          <cell r="M45">
            <v>1</v>
          </cell>
          <cell r="N45">
            <v>1</v>
          </cell>
        </row>
        <row r="46">
          <cell r="C46">
            <v>1</v>
          </cell>
          <cell r="D46">
            <v>1</v>
          </cell>
          <cell r="E46">
            <v>1</v>
          </cell>
          <cell r="F46">
            <v>1</v>
          </cell>
          <cell r="G46">
            <v>1</v>
          </cell>
          <cell r="H46">
            <v>1</v>
          </cell>
          <cell r="I46">
            <v>1</v>
          </cell>
          <cell r="J46">
            <v>1</v>
          </cell>
          <cell r="K46">
            <v>1</v>
          </cell>
          <cell r="L46">
            <v>1</v>
          </cell>
          <cell r="M46">
            <v>1</v>
          </cell>
          <cell r="N46">
            <v>1</v>
          </cell>
        </row>
        <row r="47">
          <cell r="C47">
            <v>1</v>
          </cell>
          <cell r="D47">
            <v>1</v>
          </cell>
          <cell r="E47">
            <v>1</v>
          </cell>
          <cell r="F47">
            <v>1</v>
          </cell>
          <cell r="G47">
            <v>1</v>
          </cell>
          <cell r="H47">
            <v>1</v>
          </cell>
          <cell r="I47">
            <v>1</v>
          </cell>
          <cell r="J47">
            <v>1</v>
          </cell>
          <cell r="K47">
            <v>1</v>
          </cell>
          <cell r="L47">
            <v>1</v>
          </cell>
          <cell r="M47">
            <v>1</v>
          </cell>
          <cell r="N47">
            <v>1</v>
          </cell>
        </row>
        <row r="48">
          <cell r="C48">
            <v>1</v>
          </cell>
          <cell r="D48">
            <v>1</v>
          </cell>
          <cell r="E48">
            <v>1</v>
          </cell>
          <cell r="F48">
            <v>1</v>
          </cell>
          <cell r="G48">
            <v>1</v>
          </cell>
          <cell r="H48">
            <v>1</v>
          </cell>
          <cell r="I48">
            <v>1</v>
          </cell>
          <cell r="J48">
            <v>1</v>
          </cell>
          <cell r="K48">
            <v>1</v>
          </cell>
          <cell r="L48">
            <v>1</v>
          </cell>
          <cell r="M48">
            <v>1</v>
          </cell>
          <cell r="N48">
            <v>1</v>
          </cell>
        </row>
        <row r="49">
          <cell r="C49">
            <v>1</v>
          </cell>
          <cell r="D49">
            <v>1</v>
          </cell>
          <cell r="E49">
            <v>1</v>
          </cell>
          <cell r="F49">
            <v>1</v>
          </cell>
          <cell r="G49">
            <v>1</v>
          </cell>
          <cell r="H49">
            <v>1</v>
          </cell>
          <cell r="I49">
            <v>1</v>
          </cell>
          <cell r="J49">
            <v>1</v>
          </cell>
          <cell r="K49">
            <v>1</v>
          </cell>
          <cell r="L49">
            <v>1</v>
          </cell>
          <cell r="M49">
            <v>1</v>
          </cell>
          <cell r="N49">
            <v>1</v>
          </cell>
        </row>
        <row r="50">
          <cell r="C50">
            <v>1</v>
          </cell>
          <cell r="D50">
            <v>1</v>
          </cell>
          <cell r="E50">
            <v>1</v>
          </cell>
          <cell r="F50">
            <v>1</v>
          </cell>
          <cell r="G50">
            <v>1</v>
          </cell>
          <cell r="H50">
            <v>1</v>
          </cell>
          <cell r="I50">
            <v>1</v>
          </cell>
          <cell r="J50">
            <v>1</v>
          </cell>
          <cell r="K50">
            <v>1</v>
          </cell>
          <cell r="L50">
            <v>1</v>
          </cell>
          <cell r="M50">
            <v>1</v>
          </cell>
          <cell r="N50">
            <v>1</v>
          </cell>
        </row>
        <row r="52">
          <cell r="C52">
            <v>0.99999999999999978</v>
          </cell>
          <cell r="D52">
            <v>1</v>
          </cell>
          <cell r="E52">
            <v>1</v>
          </cell>
          <cell r="F52">
            <v>1</v>
          </cell>
          <cell r="G52">
            <v>1</v>
          </cell>
          <cell r="H52">
            <v>1</v>
          </cell>
          <cell r="I52">
            <v>1</v>
          </cell>
          <cell r="J52">
            <v>1</v>
          </cell>
          <cell r="K52">
            <v>1</v>
          </cell>
          <cell r="L52">
            <v>1</v>
          </cell>
          <cell r="M52">
            <v>1</v>
          </cell>
          <cell r="N52">
            <v>1</v>
          </cell>
        </row>
        <row r="55">
          <cell r="C55">
            <v>2.0065499999999998</v>
          </cell>
          <cell r="D55">
            <v>1.6731</v>
          </cell>
          <cell r="E55">
            <v>1.69455</v>
          </cell>
          <cell r="F55">
            <v>1.4176499999999999</v>
          </cell>
          <cell r="G55">
            <v>1.7686500000000001</v>
          </cell>
          <cell r="H55">
            <v>1.5970499999999999</v>
          </cell>
          <cell r="I55">
            <v>1.4625000000000001</v>
          </cell>
          <cell r="J55">
            <v>1.7355</v>
          </cell>
          <cell r="K55">
            <v>1.2421500000000001</v>
          </cell>
          <cell r="L55">
            <v>0.99840000000000007</v>
          </cell>
          <cell r="M55">
            <v>1.2987</v>
          </cell>
          <cell r="N55">
            <v>1.0530000000000002</v>
          </cell>
        </row>
        <row r="56">
          <cell r="C56">
            <v>1.8336779999999999</v>
          </cell>
          <cell r="D56">
            <v>1.528956</v>
          </cell>
          <cell r="E56">
            <v>1.5485579999999999</v>
          </cell>
          <cell r="F56">
            <v>1.2955139999999998</v>
          </cell>
          <cell r="G56">
            <v>1.616274</v>
          </cell>
          <cell r="H56">
            <v>1.4594579999999999</v>
          </cell>
          <cell r="I56">
            <v>1.3365</v>
          </cell>
          <cell r="J56">
            <v>1.5859799999999999</v>
          </cell>
          <cell r="K56">
            <v>1.1351340000000001</v>
          </cell>
          <cell r="L56">
            <v>0.91238399999999997</v>
          </cell>
          <cell r="M56">
            <v>1.186812</v>
          </cell>
          <cell r="N56">
            <v>0.96228000000000002</v>
          </cell>
        </row>
        <row r="57">
          <cell r="C57">
            <v>0</v>
          </cell>
          <cell r="D57">
            <v>0</v>
          </cell>
          <cell r="E57">
            <v>0</v>
          </cell>
          <cell r="F57">
            <v>0</v>
          </cell>
          <cell r="G57">
            <v>0</v>
          </cell>
          <cell r="H57">
            <v>0</v>
          </cell>
          <cell r="I57">
            <v>0</v>
          </cell>
          <cell r="J57">
            <v>0</v>
          </cell>
          <cell r="K57">
            <v>0</v>
          </cell>
          <cell r="L57">
            <v>0</v>
          </cell>
          <cell r="M57">
            <v>0</v>
          </cell>
          <cell r="N57">
            <v>0</v>
          </cell>
        </row>
        <row r="58">
          <cell r="C58">
            <v>0.16978499999999999</v>
          </cell>
          <cell r="D58">
            <v>0.14157</v>
          </cell>
          <cell r="E58">
            <v>0.14338499999999998</v>
          </cell>
          <cell r="F58">
            <v>0.11995499999999999</v>
          </cell>
          <cell r="G58">
            <v>0.14965500000000001</v>
          </cell>
          <cell r="H58">
            <v>0.13513500000000001</v>
          </cell>
          <cell r="I58">
            <v>0.12375</v>
          </cell>
          <cell r="J58">
            <v>0.14685000000000001</v>
          </cell>
          <cell r="K58">
            <v>0.105105</v>
          </cell>
          <cell r="L58">
            <v>8.448E-2</v>
          </cell>
          <cell r="M58">
            <v>0.10989</v>
          </cell>
          <cell r="N58">
            <v>8.9100000000000013E-2</v>
          </cell>
        </row>
        <row r="59">
          <cell r="C59">
            <v>0.46202099999999996</v>
          </cell>
          <cell r="D59">
            <v>0.38524200000000003</v>
          </cell>
          <cell r="E59">
            <v>0.390181</v>
          </cell>
          <cell r="F59">
            <v>0.32642300000000002</v>
          </cell>
          <cell r="G59">
            <v>0.40724300000000002</v>
          </cell>
          <cell r="H59">
            <v>0.36773099999999997</v>
          </cell>
          <cell r="I59">
            <v>0.33674999999999999</v>
          </cell>
          <cell r="J59">
            <v>0.39961000000000002</v>
          </cell>
          <cell r="K59">
            <v>0.28601300000000002</v>
          </cell>
          <cell r="L59">
            <v>0.22988800000000001</v>
          </cell>
          <cell r="M59">
            <v>0.29903400000000002</v>
          </cell>
          <cell r="N59">
            <v>0.24246000000000004</v>
          </cell>
        </row>
        <row r="60">
          <cell r="C60">
            <v>7.7174999999999994E-2</v>
          </cell>
          <cell r="D60">
            <v>6.4350000000000004E-2</v>
          </cell>
          <cell r="E60">
            <v>6.5174999999999997E-2</v>
          </cell>
          <cell r="F60">
            <v>5.4524999999999997E-2</v>
          </cell>
          <cell r="G60">
            <v>6.8025000000000002E-2</v>
          </cell>
          <cell r="H60">
            <v>6.1424999999999993E-2</v>
          </cell>
          <cell r="I60">
            <v>5.6249999999999994E-2</v>
          </cell>
          <cell r="J60">
            <v>6.6750000000000004E-2</v>
          </cell>
          <cell r="K60">
            <v>4.7774999999999998E-2</v>
          </cell>
          <cell r="L60">
            <v>3.8399999999999997E-2</v>
          </cell>
          <cell r="M60">
            <v>4.9950000000000001E-2</v>
          </cell>
          <cell r="N60">
            <v>4.0500000000000001E-2</v>
          </cell>
        </row>
        <row r="61">
          <cell r="C61">
            <v>0</v>
          </cell>
          <cell r="D61">
            <v>0</v>
          </cell>
          <cell r="E61">
            <v>0</v>
          </cell>
          <cell r="F61">
            <v>0</v>
          </cell>
          <cell r="G61">
            <v>0</v>
          </cell>
          <cell r="H61">
            <v>0</v>
          </cell>
          <cell r="I61">
            <v>0</v>
          </cell>
          <cell r="J61">
            <v>0</v>
          </cell>
          <cell r="K61">
            <v>0</v>
          </cell>
          <cell r="L61">
            <v>0</v>
          </cell>
          <cell r="M61">
            <v>0</v>
          </cell>
          <cell r="N61">
            <v>0</v>
          </cell>
        </row>
        <row r="62">
          <cell r="C62">
            <v>1.819272</v>
          </cell>
          <cell r="D62">
            <v>1.5169440000000001</v>
          </cell>
          <cell r="E62">
            <v>1.536392</v>
          </cell>
          <cell r="F62">
            <v>1.285336</v>
          </cell>
          <cell r="G62">
            <v>1.6035760000000001</v>
          </cell>
          <cell r="H62">
            <v>1.4479919999999999</v>
          </cell>
          <cell r="I62">
            <v>1.3260000000000001</v>
          </cell>
          <cell r="J62">
            <v>1.5735200000000003</v>
          </cell>
          <cell r="K62">
            <v>1.1262160000000001</v>
          </cell>
          <cell r="L62">
            <v>0.90521600000000013</v>
          </cell>
          <cell r="M62">
            <v>1.1774880000000001</v>
          </cell>
          <cell r="N62">
            <v>0.95472000000000012</v>
          </cell>
        </row>
        <row r="63">
          <cell r="C63">
            <v>0</v>
          </cell>
          <cell r="D63">
            <v>0</v>
          </cell>
          <cell r="E63">
            <v>0</v>
          </cell>
          <cell r="F63">
            <v>0</v>
          </cell>
          <cell r="G63">
            <v>0</v>
          </cell>
          <cell r="H63">
            <v>0</v>
          </cell>
          <cell r="I63">
            <v>0</v>
          </cell>
          <cell r="J63">
            <v>0</v>
          </cell>
          <cell r="K63">
            <v>0</v>
          </cell>
          <cell r="L63">
            <v>0</v>
          </cell>
          <cell r="M63">
            <v>0</v>
          </cell>
          <cell r="N63">
            <v>0</v>
          </cell>
        </row>
        <row r="64">
          <cell r="C64">
            <v>0.61019700000000132</v>
          </cell>
          <cell r="D64">
            <v>0.50879400000000108</v>
          </cell>
          <cell r="E64">
            <v>0.51531700000000114</v>
          </cell>
          <cell r="F64">
            <v>0.43111100000000091</v>
          </cell>
          <cell r="G64">
            <v>0.53785100000000119</v>
          </cell>
          <cell r="H64">
            <v>0.48566700000000101</v>
          </cell>
          <cell r="I64">
            <v>0.44475000000000098</v>
          </cell>
          <cell r="J64">
            <v>0.52777000000000118</v>
          </cell>
          <cell r="K64">
            <v>0.37774100000000083</v>
          </cell>
          <cell r="L64">
            <v>0.30361600000000066</v>
          </cell>
          <cell r="M64">
            <v>0.3949380000000009</v>
          </cell>
          <cell r="N64">
            <v>0.32022000000000073</v>
          </cell>
        </row>
        <row r="65">
          <cell r="C65">
            <v>3.3113219999999988</v>
          </cell>
          <cell r="D65">
            <v>2.7610439999999992</v>
          </cell>
          <cell r="E65">
            <v>2.7964419999999981</v>
          </cell>
          <cell r="F65">
            <v>2.3394859999999991</v>
          </cell>
          <cell r="G65">
            <v>2.9187259999999977</v>
          </cell>
          <cell r="H65">
            <v>2.6355419999999983</v>
          </cell>
          <cell r="I65">
            <v>2.4134999999999991</v>
          </cell>
          <cell r="J65">
            <v>2.8640199999999991</v>
          </cell>
          <cell r="K65">
            <v>2.049865999999998</v>
          </cell>
          <cell r="L65">
            <v>1.6476159999999989</v>
          </cell>
          <cell r="M65">
            <v>2.1431879999999994</v>
          </cell>
          <cell r="N65">
            <v>1.737719999999999</v>
          </cell>
        </row>
        <row r="66">
          <cell r="C66">
            <v>10.29</v>
          </cell>
          <cell r="D66">
            <v>8.58</v>
          </cell>
          <cell r="E66">
            <v>8.69</v>
          </cell>
          <cell r="F66">
            <v>7.27</v>
          </cell>
          <cell r="G66">
            <v>9.07</v>
          </cell>
          <cell r="H66">
            <v>8.19</v>
          </cell>
          <cell r="I66">
            <v>7.5</v>
          </cell>
          <cell r="J66">
            <v>8.9</v>
          </cell>
          <cell r="K66">
            <v>6.37</v>
          </cell>
          <cell r="L66">
            <v>5.12</v>
          </cell>
          <cell r="M66">
            <v>6.66</v>
          </cell>
          <cell r="N66">
            <v>5.4</v>
          </cell>
        </row>
        <row r="68">
          <cell r="C68">
            <v>1.1000000000000001</v>
          </cell>
          <cell r="E68" t="str">
            <v>.</v>
          </cell>
        </row>
        <row r="69">
          <cell r="C69">
            <v>75.095999999999989</v>
          </cell>
          <cell r="D69">
            <v>73.835999999999999</v>
          </cell>
          <cell r="E69">
            <v>74.444999999999993</v>
          </cell>
          <cell r="F69">
            <v>73.695999999999998</v>
          </cell>
          <cell r="G69">
            <v>67.003999999999991</v>
          </cell>
          <cell r="H69">
            <v>68.453000000000003</v>
          </cell>
          <cell r="I69">
            <v>63.755999999999993</v>
          </cell>
          <cell r="J69">
            <v>60.780999999999992</v>
          </cell>
          <cell r="K69">
            <v>59.100999999999999</v>
          </cell>
          <cell r="L69">
            <v>58.519999999999989</v>
          </cell>
          <cell r="M69">
            <v>59.919999999999995</v>
          </cell>
          <cell r="N69">
            <v>61.284999999999997</v>
          </cell>
        </row>
        <row r="70">
          <cell r="C70">
            <v>99.538013913363088</v>
          </cell>
          <cell r="D70">
            <v>95.647999999999982</v>
          </cell>
          <cell r="E70">
            <v>101.63999999999999</v>
          </cell>
          <cell r="F70">
            <v>98.993999999999986</v>
          </cell>
          <cell r="G70">
            <v>91.475999999999999</v>
          </cell>
          <cell r="H70">
            <v>95.332999999999998</v>
          </cell>
          <cell r="I70">
            <v>93.1</v>
          </cell>
          <cell r="J70">
            <v>88.647999999999996</v>
          </cell>
          <cell r="K70">
            <v>85.644999999999996</v>
          </cell>
          <cell r="L70">
            <v>73.444000000000003</v>
          </cell>
          <cell r="M70">
            <v>71.742999999999995</v>
          </cell>
          <cell r="N70">
            <v>80.044999999999987</v>
          </cell>
        </row>
        <row r="71">
          <cell r="I71" t="str">
            <v>-</v>
          </cell>
          <cell r="J71">
            <v>0</v>
          </cell>
        </row>
        <row r="72">
          <cell r="C72">
            <v>80.184999999999988</v>
          </cell>
          <cell r="D72">
            <v>74.192999999999998</v>
          </cell>
          <cell r="E72">
            <v>73.751999999999995</v>
          </cell>
          <cell r="F72">
            <v>73.254999999999995</v>
          </cell>
          <cell r="G72">
            <v>76.705999999999989</v>
          </cell>
          <cell r="H72">
            <v>61.949999999999996</v>
          </cell>
          <cell r="I72">
            <v>52.856999999999999</v>
          </cell>
          <cell r="J72">
            <v>53.297999999999995</v>
          </cell>
          <cell r="K72">
            <v>53.024999999999999</v>
          </cell>
          <cell r="L72">
            <v>39.094999999999999</v>
          </cell>
          <cell r="M72">
            <v>39.753</v>
          </cell>
          <cell r="N72">
            <v>39.269999999999996</v>
          </cell>
        </row>
        <row r="73">
          <cell r="C73">
            <v>189.09099999999998</v>
          </cell>
          <cell r="D73">
            <v>190.60999999999999</v>
          </cell>
          <cell r="E73">
            <v>213.80799999999999</v>
          </cell>
          <cell r="F73">
            <v>216.37</v>
          </cell>
          <cell r="G73">
            <v>238.16799999999998</v>
          </cell>
          <cell r="H73">
            <v>230.12499999999997</v>
          </cell>
          <cell r="I73">
            <v>209.37700000000001</v>
          </cell>
          <cell r="J73">
            <v>171.57</v>
          </cell>
          <cell r="K73">
            <v>130.49399999999997</v>
          </cell>
          <cell r="L73">
            <v>104.23699999999999</v>
          </cell>
          <cell r="M73">
            <v>119.26599999999999</v>
          </cell>
          <cell r="N73">
            <v>143.15699999999998</v>
          </cell>
        </row>
        <row r="74">
          <cell r="C74">
            <v>1078.0139999999999</v>
          </cell>
          <cell r="D74">
            <v>1048.7190000000001</v>
          </cell>
          <cell r="E74">
            <v>1082.5429999999999</v>
          </cell>
          <cell r="F74">
            <v>1138.1859999999999</v>
          </cell>
          <cell r="G74">
            <v>1150.8559999999998</v>
          </cell>
          <cell r="H74">
            <v>1124.4870000000001</v>
          </cell>
          <cell r="I74">
            <v>1232</v>
          </cell>
          <cell r="J74">
            <v>1190</v>
          </cell>
          <cell r="K74">
            <v>1106</v>
          </cell>
          <cell r="L74">
            <v>1095.4089999999999</v>
          </cell>
          <cell r="M74">
            <v>1041.194</v>
          </cell>
          <cell r="N74">
            <v>970.33299999999997</v>
          </cell>
        </row>
        <row r="75">
          <cell r="I75" t="str">
            <v>-</v>
          </cell>
          <cell r="J75">
            <v>0</v>
          </cell>
        </row>
        <row r="76">
          <cell r="C76">
            <v>-15.18</v>
          </cell>
          <cell r="D76">
            <v>-6.98</v>
          </cell>
          <cell r="E76">
            <v>-7.6</v>
          </cell>
          <cell r="F76">
            <v>-8.7100000000000009</v>
          </cell>
          <cell r="G76">
            <v>2.6</v>
          </cell>
          <cell r="H76">
            <v>0.99399999999999988</v>
          </cell>
          <cell r="I76">
            <v>-2.9539999999999997</v>
          </cell>
          <cell r="J76">
            <v>-4.7669999999999995</v>
          </cell>
          <cell r="K76">
            <v>-3.9339999999999997</v>
          </cell>
          <cell r="L76">
            <v>-9.113999999999999</v>
          </cell>
          <cell r="M76">
            <v>-5.194</v>
          </cell>
          <cell r="N76">
            <v>-13.93</v>
          </cell>
        </row>
        <row r="77">
          <cell r="C77">
            <v>-120.17</v>
          </cell>
          <cell r="D77">
            <v>-120.17</v>
          </cell>
          <cell r="E77">
            <v>-120.17</v>
          </cell>
          <cell r="F77">
            <v>-120.17</v>
          </cell>
          <cell r="G77">
            <v>-120.17</v>
          </cell>
          <cell r="H77">
            <v>-120.17</v>
          </cell>
          <cell r="I77">
            <v>-120.17</v>
          </cell>
          <cell r="J77">
            <v>-120.17</v>
          </cell>
          <cell r="K77">
            <v>-120.17</v>
          </cell>
          <cell r="L77">
            <v>-120.17</v>
          </cell>
          <cell r="M77">
            <v>-120.17</v>
          </cell>
          <cell r="N77">
            <v>-120.17</v>
          </cell>
        </row>
        <row r="78">
          <cell r="C78">
            <v>-120.17</v>
          </cell>
          <cell r="D78">
            <v>-120.17</v>
          </cell>
          <cell r="E78">
            <v>-120.17</v>
          </cell>
          <cell r="F78">
            <v>-120.17</v>
          </cell>
          <cell r="G78">
            <v>-120.17</v>
          </cell>
          <cell r="H78">
            <v>-120.17</v>
          </cell>
          <cell r="I78">
            <v>-120.17</v>
          </cell>
          <cell r="J78">
            <v>-120.17</v>
          </cell>
          <cell r="K78">
            <v>-120.17</v>
          </cell>
          <cell r="L78">
            <v>-120.17</v>
          </cell>
          <cell r="M78">
            <v>-120.17</v>
          </cell>
          <cell r="N78">
            <v>-120.17</v>
          </cell>
        </row>
        <row r="79">
          <cell r="C79">
            <v>70.069999999999993</v>
          </cell>
          <cell r="D79">
            <v>68.361999999999995</v>
          </cell>
          <cell r="E79">
            <v>68.417999999999992</v>
          </cell>
          <cell r="F79">
            <v>68.018999999999991</v>
          </cell>
          <cell r="G79">
            <v>62.811</v>
          </cell>
          <cell r="H79">
            <v>60.717999999999989</v>
          </cell>
          <cell r="I79">
            <v>56.370999999999995</v>
          </cell>
          <cell r="J79">
            <v>53.717999999999996</v>
          </cell>
          <cell r="K79">
            <v>53.255999999999993</v>
          </cell>
          <cell r="L79">
            <v>51.967999999999996</v>
          </cell>
          <cell r="M79">
            <v>56.069999999999993</v>
          </cell>
          <cell r="N79">
            <v>56.069999999999993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KENT_SF"/>
      <sheetName val="Value"/>
      <sheetName val="Commodity Tonnages"/>
      <sheetName val="Pricing"/>
      <sheetName val="Single Family"/>
    </sheetNames>
    <sheetDataSet>
      <sheetData sheetId="0">
        <row r="31">
          <cell r="G31">
            <v>237919</v>
          </cell>
        </row>
        <row r="33">
          <cell r="F33">
            <v>0.86499999999999999</v>
          </cell>
        </row>
        <row r="34">
          <cell r="F34">
            <v>88860</v>
          </cell>
        </row>
        <row r="37">
          <cell r="F37">
            <v>0.45900000000000002</v>
          </cell>
        </row>
        <row r="38">
          <cell r="F38">
            <v>217774</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C"/>
      <sheetName val="Sheet2"/>
      <sheetName val="Sheet3"/>
    </sheetNames>
    <sheetDataSet>
      <sheetData sheetId="0">
        <row r="7">
          <cell r="C7">
            <v>13363.244999999999</v>
          </cell>
          <cell r="E7">
            <v>373.27500000000003</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KENT_MF"/>
      <sheetName val="Value"/>
      <sheetName val="Commodity Tonnages"/>
      <sheetName val="Pricing"/>
      <sheetName val="Multi_Family"/>
    </sheetNames>
    <sheetDataSet>
      <sheetData sheetId="0" refreshError="1"/>
      <sheetData sheetId="1">
        <row r="8">
          <cell r="B8">
            <v>950.54</v>
          </cell>
        </row>
        <row r="9">
          <cell r="B9">
            <v>950.54</v>
          </cell>
        </row>
        <row r="10">
          <cell r="B10">
            <v>611.72</v>
          </cell>
        </row>
        <row r="13">
          <cell r="B13">
            <v>521.72</v>
          </cell>
        </row>
        <row r="14">
          <cell r="B14">
            <v>504.27</v>
          </cell>
        </row>
        <row r="15">
          <cell r="B15">
            <v>504.27</v>
          </cell>
        </row>
        <row r="16">
          <cell r="B16">
            <v>504.27</v>
          </cell>
        </row>
        <row r="17">
          <cell r="B17">
            <v>504.27</v>
          </cell>
        </row>
        <row r="18">
          <cell r="B18">
            <v>504.27</v>
          </cell>
        </row>
        <row r="19">
          <cell r="B19">
            <v>504.27</v>
          </cell>
        </row>
        <row r="20">
          <cell r="B20">
            <v>504.27</v>
          </cell>
        </row>
        <row r="21">
          <cell r="B21">
            <v>490.42</v>
          </cell>
        </row>
        <row r="54">
          <cell r="O54">
            <v>0.5</v>
          </cell>
        </row>
      </sheetData>
      <sheetData sheetId="2">
        <row r="20">
          <cell r="M20">
            <v>6337.5024113799982</v>
          </cell>
          <cell r="O20">
            <v>3527.8879834542217</v>
          </cell>
        </row>
      </sheetData>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KENT_MF"/>
      <sheetName val="Value"/>
      <sheetName val="Commodity Tonnages"/>
      <sheetName val="Pricing"/>
      <sheetName val="Multi_Family"/>
    </sheetNames>
    <sheetDataSet>
      <sheetData sheetId="0"/>
      <sheetData sheetId="1">
        <row r="8">
          <cell r="B8">
            <v>954.72</v>
          </cell>
        </row>
        <row r="9">
          <cell r="B9">
            <v>811.83</v>
          </cell>
        </row>
        <row r="10">
          <cell r="B10">
            <v>846.47</v>
          </cell>
        </row>
        <row r="13">
          <cell r="B13">
            <v>846.47340000000008</v>
          </cell>
        </row>
        <row r="14">
          <cell r="B14">
            <v>846.47340000000008</v>
          </cell>
        </row>
        <row r="15">
          <cell r="B15">
            <v>846.47</v>
          </cell>
        </row>
        <row r="16">
          <cell r="B16">
            <v>846.47</v>
          </cell>
        </row>
        <row r="17">
          <cell r="B17">
            <v>846.47</v>
          </cell>
        </row>
        <row r="18">
          <cell r="B18">
            <v>936.47</v>
          </cell>
        </row>
        <row r="19">
          <cell r="B19">
            <v>911.29</v>
          </cell>
        </row>
        <row r="20">
          <cell r="B20">
            <v>951.84</v>
          </cell>
        </row>
        <row r="21">
          <cell r="B21">
            <v>951.84</v>
          </cell>
        </row>
        <row r="54">
          <cell r="O54">
            <v>0.5</v>
          </cell>
        </row>
        <row r="65">
          <cell r="I65">
            <v>3.9961666063126629E-2</v>
          </cell>
        </row>
      </sheetData>
      <sheetData sheetId="2">
        <row r="20">
          <cell r="M20">
            <v>5684.1990710941236</v>
          </cell>
        </row>
      </sheetData>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KENT_MF"/>
      <sheetName val="Value"/>
      <sheetName val="Commodity Tonnages"/>
      <sheetName val="Pricing"/>
      <sheetName val="Multi_Family"/>
    </sheetNames>
    <sheetDataSet>
      <sheetData sheetId="0" refreshError="1"/>
      <sheetData sheetId="1">
        <row r="30">
          <cell r="G30">
            <v>3607.6951571771342</v>
          </cell>
        </row>
        <row r="33">
          <cell r="F33">
            <v>2762.6210000000001</v>
          </cell>
        </row>
        <row r="37">
          <cell r="F37">
            <v>6618.1333000000004</v>
          </cell>
        </row>
        <row r="70">
          <cell r="I70">
            <v>3.570606854468427E-2</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LYNNWOOD_SF"/>
      <sheetName val="WUTC_KENT_MF"/>
      <sheetName val="Value"/>
      <sheetName val="Commodity Tonnages"/>
      <sheetName val="Pricing"/>
      <sheetName val="Multi_Family"/>
    </sheetNames>
    <sheetDataSet>
      <sheetData sheetId="0" refreshError="1"/>
      <sheetData sheetId="1">
        <row r="31">
          <cell r="G31">
            <v>5187.0659435797243</v>
          </cell>
        </row>
        <row r="33">
          <cell r="F33">
            <v>0.121</v>
          </cell>
        </row>
        <row r="34">
          <cell r="F34">
            <v>6704.4</v>
          </cell>
        </row>
        <row r="37">
          <cell r="F37">
            <v>0.107</v>
          </cell>
        </row>
        <row r="38">
          <cell r="F38">
            <v>18838.016666666663</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27.bin"/><Relationship Id="rId4" Type="http://schemas.openxmlformats.org/officeDocument/2006/relationships/comments" Target="../comments17.xml"/></Relationships>
</file>

<file path=xl/worksheets/_rels/sheet3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4.xml"/><Relationship Id="rId1" Type="http://schemas.openxmlformats.org/officeDocument/2006/relationships/printerSettings" Target="../printerSettings/printerSettings33.bin"/><Relationship Id="rId4" Type="http://schemas.openxmlformats.org/officeDocument/2006/relationships/comments" Target="../comments2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57"/>
  <sheetViews>
    <sheetView tabSelected="1" zoomScale="80" zoomScaleNormal="80" workbookViewId="0">
      <selection activeCell="B26" sqref="B26"/>
    </sheetView>
  </sheetViews>
  <sheetFormatPr defaultColWidth="8.85546875" defaultRowHeight="12.75" x14ac:dyDescent="0.2"/>
  <cols>
    <col min="1" max="1" width="38.140625" style="186" customWidth="1"/>
    <col min="2" max="2" width="22.28515625" style="186" customWidth="1"/>
    <col min="3" max="3" width="13.7109375" style="186" customWidth="1"/>
    <col min="4" max="4" width="8.85546875" style="186"/>
    <col min="5" max="5" width="13.7109375" style="186" customWidth="1"/>
    <col min="6" max="6" width="14.28515625" style="186" customWidth="1"/>
    <col min="7" max="7" width="38.140625" style="186" customWidth="1"/>
    <col min="8" max="8" width="22.28515625" style="186" customWidth="1"/>
    <col min="9" max="9" width="13.7109375" style="186" customWidth="1"/>
    <col min="10" max="10" width="8.85546875" style="186"/>
    <col min="11" max="11" width="13.7109375" style="186" customWidth="1"/>
    <col min="12" max="12" width="14.28515625" style="186" customWidth="1"/>
    <col min="13" max="13" width="65.85546875" style="186" bestFit="1" customWidth="1"/>
    <col min="14" max="14" width="8.85546875" style="186"/>
    <col min="15" max="15" width="33.42578125" style="186" bestFit="1" customWidth="1"/>
    <col min="16" max="16" width="12.7109375" style="186" bestFit="1" customWidth="1"/>
    <col min="17" max="17" width="10.42578125" style="186" customWidth="1"/>
    <col min="18" max="18" width="11.7109375" style="186" customWidth="1"/>
    <col min="19" max="19" width="65.85546875" style="186" bestFit="1" customWidth="1"/>
    <col min="20" max="20" width="8.85546875" style="186"/>
    <col min="21" max="21" width="33.42578125" style="186" bestFit="1" customWidth="1"/>
    <col min="22" max="22" width="12.7109375" style="186" bestFit="1" customWidth="1"/>
    <col min="23" max="23" width="10.28515625" style="186" bestFit="1" customWidth="1"/>
    <col min="24" max="24" width="10.140625" style="186" bestFit="1" customWidth="1"/>
    <col min="25" max="25" width="40.28515625" style="186" customWidth="1"/>
    <col min="26" max="26" width="6.28515625" style="186" customWidth="1"/>
    <col min="27" max="27" width="12.42578125" style="186" customWidth="1"/>
    <col min="28" max="28" width="14.85546875" style="186" bestFit="1" customWidth="1"/>
    <col min="29" max="29" width="11.5703125" style="186" customWidth="1"/>
    <col min="30" max="30" width="10.5703125" style="186" bestFit="1" customWidth="1"/>
    <col min="31" max="31" width="40.28515625" style="186" customWidth="1"/>
    <col min="32" max="32" width="6.28515625" style="186" customWidth="1"/>
    <col min="33" max="33" width="12.42578125" style="186" customWidth="1"/>
    <col min="34" max="34" width="14.85546875" style="186" bestFit="1" customWidth="1"/>
    <col min="35" max="35" width="11.5703125" style="186" customWidth="1"/>
    <col min="36" max="36" width="10.5703125" style="186" bestFit="1" customWidth="1"/>
    <col min="37" max="37" width="40.28515625" style="186" customWidth="1"/>
    <col min="38" max="38" width="6.28515625" style="186" customWidth="1"/>
    <col min="39" max="39" width="12.42578125" style="186" customWidth="1"/>
    <col min="40" max="40" width="14.85546875" style="186" bestFit="1" customWidth="1"/>
    <col min="41" max="41" width="11.5703125" style="186" customWidth="1"/>
    <col min="42" max="42" width="10.5703125" style="186" bestFit="1" customWidth="1"/>
    <col min="43" max="43" width="11" style="186" customWidth="1"/>
    <col min="44" max="44" width="41.5703125" style="186" customWidth="1"/>
    <col min="45" max="45" width="10.42578125" style="186" bestFit="1" customWidth="1"/>
    <col min="46" max="46" width="13.42578125" style="186" customWidth="1"/>
    <col min="47" max="47" width="11" style="186" customWidth="1"/>
    <col min="48" max="48" width="11.85546875" style="186" customWidth="1"/>
    <col min="49" max="49" width="35.85546875" style="186" customWidth="1"/>
    <col min="50" max="50" width="8.85546875" style="186"/>
    <col min="51" max="51" width="24.140625" style="186" customWidth="1"/>
    <col min="52" max="52" width="11" style="186" bestFit="1" customWidth="1"/>
    <col min="53" max="53" width="10.5703125" style="186" bestFit="1" customWidth="1"/>
    <col min="54" max="54" width="10.42578125" style="186" customWidth="1"/>
    <col min="55" max="16384" width="8.85546875" style="186"/>
  </cols>
  <sheetData>
    <row r="1" spans="1:54" ht="19.5" customHeight="1" x14ac:dyDescent="0.4">
      <c r="A1" s="182" t="s">
        <v>97</v>
      </c>
      <c r="B1" s="183"/>
      <c r="C1" s="184"/>
      <c r="D1" s="184"/>
      <c r="E1" s="184"/>
      <c r="F1" s="185"/>
      <c r="G1" s="182" t="s">
        <v>97</v>
      </c>
      <c r="H1" s="183"/>
      <c r="I1" s="184"/>
      <c r="J1" s="184"/>
      <c r="K1" s="184"/>
      <c r="L1" s="185"/>
      <c r="M1" s="182" t="s">
        <v>97</v>
      </c>
      <c r="N1" s="183"/>
      <c r="O1" s="184"/>
      <c r="P1" s="184"/>
      <c r="Q1" s="184"/>
      <c r="R1" s="185"/>
      <c r="S1" s="182" t="s">
        <v>97</v>
      </c>
      <c r="T1" s="183"/>
      <c r="U1" s="184"/>
      <c r="V1" s="184"/>
      <c r="W1" s="184"/>
      <c r="X1" s="185"/>
      <c r="Y1" s="182" t="s">
        <v>97</v>
      </c>
      <c r="Z1" s="183"/>
      <c r="AA1" s="184"/>
      <c r="AB1" s="184"/>
      <c r="AC1" s="184"/>
      <c r="AD1" s="185"/>
      <c r="AE1" s="182" t="s">
        <v>97</v>
      </c>
      <c r="AF1" s="183"/>
      <c r="AG1" s="184"/>
      <c r="AH1" s="184"/>
      <c r="AI1" s="184"/>
      <c r="AJ1" s="185"/>
      <c r="AK1" s="182" t="s">
        <v>97</v>
      </c>
      <c r="AL1" s="183"/>
      <c r="AM1" s="184"/>
      <c r="AN1" s="184"/>
      <c r="AO1" s="184"/>
      <c r="AP1" s="185"/>
      <c r="AQ1" s="182" t="str">
        <f>AK1</f>
        <v>Fiorito Enterprises (Kent Meridian) commodity adjustment</v>
      </c>
      <c r="AR1" s="183"/>
      <c r="AS1" s="184"/>
      <c r="AT1" s="184"/>
      <c r="AU1" s="184"/>
      <c r="AV1" s="185"/>
      <c r="AW1" s="182" t="str">
        <f>AQ1</f>
        <v>Fiorito Enterprises (Kent Meridian) commodity adjustment</v>
      </c>
      <c r="AX1" s="183"/>
      <c r="AY1" s="184"/>
      <c r="AZ1" s="184"/>
      <c r="BA1" s="184"/>
      <c r="BB1" s="185"/>
    </row>
    <row r="2" spans="1:54" ht="18" x14ac:dyDescent="0.35">
      <c r="A2" s="187" t="s">
        <v>98</v>
      </c>
      <c r="B2" s="188"/>
      <c r="C2" s="189" t="s">
        <v>99</v>
      </c>
      <c r="D2" s="190"/>
      <c r="E2" s="190"/>
      <c r="F2" s="191"/>
      <c r="G2" s="187" t="s">
        <v>98</v>
      </c>
      <c r="H2" s="188"/>
      <c r="I2" s="189" t="s">
        <v>99</v>
      </c>
      <c r="J2" s="190"/>
      <c r="K2" s="190"/>
      <c r="L2" s="191"/>
      <c r="M2" s="187" t="s">
        <v>98</v>
      </c>
      <c r="N2" s="188"/>
      <c r="O2" s="189" t="s">
        <v>99</v>
      </c>
      <c r="P2" s="190"/>
      <c r="Q2" s="190"/>
      <c r="R2" s="191"/>
      <c r="S2" s="187" t="s">
        <v>98</v>
      </c>
      <c r="T2" s="188"/>
      <c r="U2" s="189" t="s">
        <v>99</v>
      </c>
      <c r="V2" s="190"/>
      <c r="W2" s="190"/>
      <c r="X2" s="191"/>
      <c r="Y2" s="187" t="s">
        <v>98</v>
      </c>
      <c r="Z2" s="188"/>
      <c r="AA2" s="189" t="s">
        <v>99</v>
      </c>
      <c r="AB2" s="190"/>
      <c r="AC2" s="190"/>
      <c r="AD2" s="191"/>
      <c r="AE2" s="187" t="s">
        <v>98</v>
      </c>
      <c r="AF2" s="188"/>
      <c r="AG2" s="189" t="s">
        <v>99</v>
      </c>
      <c r="AH2" s="190"/>
      <c r="AI2" s="190"/>
      <c r="AJ2" s="191"/>
      <c r="AK2" s="187" t="s">
        <v>98</v>
      </c>
      <c r="AL2" s="188"/>
      <c r="AM2" s="189" t="s">
        <v>99</v>
      </c>
      <c r="AN2" s="190"/>
      <c r="AO2" s="190"/>
      <c r="AP2" s="191"/>
      <c r="AQ2" s="187" t="s">
        <v>98</v>
      </c>
      <c r="AR2" s="188"/>
      <c r="AS2" s="189" t="s">
        <v>99</v>
      </c>
      <c r="AT2" s="190"/>
      <c r="AU2" s="190"/>
      <c r="AV2" s="191"/>
      <c r="AW2" s="187" t="s">
        <v>98</v>
      </c>
      <c r="AX2" s="188"/>
      <c r="AY2" s="189" t="s">
        <v>99</v>
      </c>
      <c r="AZ2" s="190"/>
      <c r="BA2" s="190"/>
      <c r="BB2" s="191"/>
    </row>
    <row r="3" spans="1:54" x14ac:dyDescent="0.2">
      <c r="A3" s="192" t="s">
        <v>221</v>
      </c>
      <c r="B3" s="193"/>
      <c r="C3" s="190"/>
      <c r="D3" s="190"/>
      <c r="E3" s="190"/>
      <c r="F3" s="191"/>
      <c r="G3" s="192" t="s">
        <v>221</v>
      </c>
      <c r="H3" s="193"/>
      <c r="I3" s="190"/>
      <c r="J3" s="190"/>
      <c r="K3" s="190"/>
      <c r="L3" s="191"/>
      <c r="M3" s="192" t="s">
        <v>213</v>
      </c>
      <c r="N3" s="193"/>
      <c r="O3" s="190"/>
      <c r="P3" s="190"/>
      <c r="Q3" s="190"/>
      <c r="R3" s="191"/>
      <c r="S3" s="192" t="s">
        <v>158</v>
      </c>
      <c r="T3" s="193"/>
      <c r="U3" s="190"/>
      <c r="V3" s="190"/>
      <c r="W3" s="190"/>
      <c r="X3" s="191"/>
      <c r="Y3" s="192" t="s">
        <v>133</v>
      </c>
      <c r="Z3" s="193"/>
      <c r="AA3" s="190"/>
      <c r="AB3" s="190"/>
      <c r="AC3" s="190"/>
      <c r="AD3" s="191"/>
      <c r="AE3" s="192" t="s">
        <v>132</v>
      </c>
      <c r="AF3" s="193"/>
      <c r="AG3" s="190"/>
      <c r="AH3" s="190"/>
      <c r="AI3" s="190"/>
      <c r="AJ3" s="191"/>
      <c r="AK3" s="192" t="s">
        <v>100</v>
      </c>
      <c r="AL3" s="193"/>
      <c r="AM3" s="190"/>
      <c r="AN3" s="190"/>
      <c r="AO3" s="190"/>
      <c r="AP3" s="191"/>
      <c r="AQ3" s="192" t="s">
        <v>101</v>
      </c>
      <c r="AR3" s="193"/>
      <c r="AS3" s="190"/>
      <c r="AT3" s="190"/>
      <c r="AU3" s="190"/>
      <c r="AV3" s="191"/>
      <c r="AW3" s="192" t="s">
        <v>102</v>
      </c>
      <c r="AX3" s="193"/>
      <c r="AY3" s="190"/>
      <c r="AZ3" s="190"/>
      <c r="BA3" s="190"/>
      <c r="BB3" s="191"/>
    </row>
    <row r="4" spans="1:54" ht="20.25" x14ac:dyDescent="0.3">
      <c r="A4" s="385" t="s">
        <v>235</v>
      </c>
      <c r="B4" s="386"/>
      <c r="C4" s="386"/>
      <c r="D4" s="386"/>
      <c r="E4" s="386"/>
      <c r="F4" s="387"/>
      <c r="G4" s="385" t="s">
        <v>220</v>
      </c>
      <c r="H4" s="386"/>
      <c r="I4" s="386"/>
      <c r="J4" s="386"/>
      <c r="K4" s="386"/>
      <c r="L4" s="387"/>
      <c r="M4" s="385" t="s">
        <v>212</v>
      </c>
      <c r="N4" s="386"/>
      <c r="O4" s="386"/>
      <c r="P4" s="386"/>
      <c r="Q4" s="386"/>
      <c r="R4" s="387"/>
      <c r="S4" s="385" t="s">
        <v>157</v>
      </c>
      <c r="T4" s="386"/>
      <c r="U4" s="386"/>
      <c r="V4" s="386"/>
      <c r="W4" s="386"/>
      <c r="X4" s="387"/>
      <c r="Y4" s="385" t="s">
        <v>134</v>
      </c>
      <c r="Z4" s="386"/>
      <c r="AA4" s="386"/>
      <c r="AB4" s="386"/>
      <c r="AC4" s="386"/>
      <c r="AD4" s="387"/>
      <c r="AE4" s="385" t="s">
        <v>103</v>
      </c>
      <c r="AF4" s="386"/>
      <c r="AG4" s="386"/>
      <c r="AH4" s="386"/>
      <c r="AI4" s="386"/>
      <c r="AJ4" s="387"/>
      <c r="AK4" s="385" t="s">
        <v>104</v>
      </c>
      <c r="AL4" s="386"/>
      <c r="AM4" s="386"/>
      <c r="AN4" s="386"/>
      <c r="AO4" s="386"/>
      <c r="AP4" s="387"/>
      <c r="AQ4" s="194"/>
      <c r="AR4" s="386" t="s">
        <v>105</v>
      </c>
      <c r="AS4" s="386"/>
      <c r="AT4" s="386"/>
      <c r="AU4" s="386"/>
      <c r="AV4" s="191"/>
      <c r="AW4" s="194"/>
      <c r="AX4" s="386" t="s">
        <v>106</v>
      </c>
      <c r="AY4" s="386"/>
      <c r="AZ4" s="386"/>
      <c r="BA4" s="386"/>
      <c r="BB4" s="191"/>
    </row>
    <row r="5" spans="1:54" x14ac:dyDescent="0.2">
      <c r="A5" s="194"/>
      <c r="B5" s="190"/>
      <c r="C5" s="190"/>
      <c r="D5" s="190"/>
      <c r="E5" s="190"/>
      <c r="F5" s="191"/>
      <c r="G5" s="194"/>
      <c r="H5" s="190"/>
      <c r="I5" s="190"/>
      <c r="J5" s="190"/>
      <c r="K5" s="190"/>
      <c r="L5" s="191"/>
      <c r="M5" s="194"/>
      <c r="N5" s="190"/>
      <c r="O5" s="190"/>
      <c r="P5" s="190"/>
      <c r="Q5" s="190"/>
      <c r="R5" s="191"/>
      <c r="S5" s="194"/>
      <c r="T5" s="190"/>
      <c r="U5" s="190"/>
      <c r="V5" s="190"/>
      <c r="W5" s="190"/>
      <c r="X5" s="191"/>
      <c r="Y5" s="194"/>
      <c r="Z5" s="190"/>
      <c r="AA5" s="190"/>
      <c r="AB5" s="190"/>
      <c r="AC5" s="190"/>
      <c r="AD5" s="191"/>
      <c r="AE5" s="194"/>
      <c r="AF5" s="190"/>
      <c r="AG5" s="190"/>
      <c r="AH5" s="190"/>
      <c r="AI5" s="190"/>
      <c r="AJ5" s="191"/>
      <c r="AK5" s="194"/>
      <c r="AL5" s="190"/>
      <c r="AM5" s="190"/>
      <c r="AN5" s="190"/>
      <c r="AO5" s="190"/>
      <c r="AP5" s="191"/>
      <c r="AQ5" s="194"/>
      <c r="AR5" s="190"/>
      <c r="AS5" s="190"/>
      <c r="AT5" s="190"/>
      <c r="AU5" s="190"/>
      <c r="AV5" s="191"/>
      <c r="AW5" s="194"/>
      <c r="AX5" s="190"/>
      <c r="AY5" s="190"/>
      <c r="AZ5" s="190"/>
      <c r="BA5" s="190"/>
      <c r="BB5" s="191"/>
    </row>
    <row r="6" spans="1:54" ht="19.5" x14ac:dyDescent="0.4">
      <c r="A6" s="388" t="s">
        <v>107</v>
      </c>
      <c r="B6" s="389"/>
      <c r="C6" s="389"/>
      <c r="D6" s="389"/>
      <c r="E6" s="389"/>
      <c r="F6" s="390"/>
      <c r="G6" s="388" t="s">
        <v>107</v>
      </c>
      <c r="H6" s="389"/>
      <c r="I6" s="389"/>
      <c r="J6" s="389"/>
      <c r="K6" s="389"/>
      <c r="L6" s="390"/>
      <c r="M6" s="388" t="s">
        <v>107</v>
      </c>
      <c r="N6" s="389"/>
      <c r="O6" s="389"/>
      <c r="P6" s="389"/>
      <c r="Q6" s="389"/>
      <c r="R6" s="390"/>
      <c r="S6" s="388" t="s">
        <v>107</v>
      </c>
      <c r="T6" s="389"/>
      <c r="U6" s="389"/>
      <c r="V6" s="389"/>
      <c r="W6" s="389"/>
      <c r="X6" s="390"/>
      <c r="Y6" s="388" t="s">
        <v>107</v>
      </c>
      <c r="Z6" s="389"/>
      <c r="AA6" s="389"/>
      <c r="AB6" s="389"/>
      <c r="AC6" s="389"/>
      <c r="AD6" s="390"/>
      <c r="AE6" s="388" t="s">
        <v>107</v>
      </c>
      <c r="AF6" s="389"/>
      <c r="AG6" s="389"/>
      <c r="AH6" s="389"/>
      <c r="AI6" s="389"/>
      <c r="AJ6" s="390"/>
      <c r="AK6" s="388" t="s">
        <v>107</v>
      </c>
      <c r="AL6" s="389"/>
      <c r="AM6" s="389"/>
      <c r="AN6" s="389"/>
      <c r="AO6" s="389"/>
      <c r="AP6" s="390"/>
      <c r="AQ6" s="388" t="s">
        <v>107</v>
      </c>
      <c r="AR6" s="389"/>
      <c r="AS6" s="389"/>
      <c r="AT6" s="389"/>
      <c r="AU6" s="389"/>
      <c r="AV6" s="390"/>
      <c r="AW6" s="388" t="s">
        <v>107</v>
      </c>
      <c r="AX6" s="389"/>
      <c r="AY6" s="389"/>
      <c r="AZ6" s="389"/>
      <c r="BA6" s="389"/>
      <c r="BB6" s="390"/>
    </row>
    <row r="7" spans="1:54" x14ac:dyDescent="0.2">
      <c r="A7" s="194"/>
      <c r="B7" s="190"/>
      <c r="C7" s="190"/>
      <c r="D7" s="190"/>
      <c r="E7" s="190"/>
      <c r="F7" s="191"/>
      <c r="G7" s="194"/>
      <c r="H7" s="190"/>
      <c r="I7" s="190"/>
      <c r="J7" s="190"/>
      <c r="K7" s="190"/>
      <c r="L7" s="191"/>
      <c r="M7" s="194"/>
      <c r="N7" s="190"/>
      <c r="O7" s="190"/>
      <c r="P7" s="190"/>
      <c r="Q7" s="190"/>
      <c r="R7" s="191"/>
      <c r="S7" s="194"/>
      <c r="T7" s="190"/>
      <c r="U7" s="190"/>
      <c r="V7" s="190"/>
      <c r="W7" s="190"/>
      <c r="X7" s="191"/>
      <c r="Y7" s="194"/>
      <c r="Z7" s="190"/>
      <c r="AA7" s="190"/>
      <c r="AB7" s="190"/>
      <c r="AC7" s="190"/>
      <c r="AD7" s="191"/>
      <c r="AE7" s="194"/>
      <c r="AF7" s="190"/>
      <c r="AG7" s="190"/>
      <c r="AH7" s="190"/>
      <c r="AI7" s="190"/>
      <c r="AJ7" s="191"/>
      <c r="AK7" s="194"/>
      <c r="AL7" s="190"/>
      <c r="AM7" s="190"/>
      <c r="AN7" s="190"/>
      <c r="AO7" s="190"/>
      <c r="AP7" s="191"/>
      <c r="AQ7" s="194"/>
      <c r="AR7" s="190"/>
      <c r="AS7" s="190"/>
      <c r="AT7" s="190"/>
      <c r="AU7" s="190"/>
      <c r="AV7" s="191"/>
      <c r="AW7" s="194"/>
      <c r="AX7" s="190"/>
      <c r="AY7" s="190"/>
      <c r="AZ7" s="190"/>
      <c r="BA7" s="190"/>
      <c r="BB7" s="191"/>
    </row>
    <row r="8" spans="1:54" x14ac:dyDescent="0.2">
      <c r="A8" s="194"/>
      <c r="B8" s="190"/>
      <c r="C8" s="195"/>
      <c r="D8" s="195" t="s">
        <v>3</v>
      </c>
      <c r="E8" s="195" t="s">
        <v>30</v>
      </c>
      <c r="F8" s="191"/>
      <c r="G8" s="194"/>
      <c r="H8" s="190"/>
      <c r="I8" s="195"/>
      <c r="J8" s="195" t="s">
        <v>3</v>
      </c>
      <c r="K8" s="195" t="s">
        <v>30</v>
      </c>
      <c r="L8" s="191"/>
      <c r="M8" s="194"/>
      <c r="N8" s="190"/>
      <c r="O8" s="195"/>
      <c r="P8" s="195" t="s">
        <v>3</v>
      </c>
      <c r="Q8" s="195" t="s">
        <v>30</v>
      </c>
      <c r="R8" s="191"/>
      <c r="S8" s="194"/>
      <c r="T8" s="190"/>
      <c r="U8" s="195"/>
      <c r="V8" s="195" t="s">
        <v>3</v>
      </c>
      <c r="W8" s="195" t="s">
        <v>30</v>
      </c>
      <c r="X8" s="191"/>
      <c r="Y8" s="194"/>
      <c r="Z8" s="190"/>
      <c r="AA8" s="195"/>
      <c r="AB8" s="195" t="s">
        <v>3</v>
      </c>
      <c r="AC8" s="195" t="s">
        <v>30</v>
      </c>
      <c r="AD8" s="191"/>
      <c r="AE8" s="194"/>
      <c r="AF8" s="190"/>
      <c r="AG8" s="195"/>
      <c r="AH8" s="195" t="s">
        <v>3</v>
      </c>
      <c r="AI8" s="195" t="s">
        <v>30</v>
      </c>
      <c r="AJ8" s="191"/>
      <c r="AK8" s="194"/>
      <c r="AL8" s="190"/>
      <c r="AM8" s="195"/>
      <c r="AN8" s="195" t="s">
        <v>3</v>
      </c>
      <c r="AO8" s="195" t="s">
        <v>30</v>
      </c>
      <c r="AP8" s="191"/>
      <c r="AQ8" s="194"/>
      <c r="AR8" s="190"/>
      <c r="AS8" s="195"/>
      <c r="AT8" s="195" t="s">
        <v>3</v>
      </c>
      <c r="AU8" s="195" t="s">
        <v>30</v>
      </c>
      <c r="AV8" s="191"/>
      <c r="AW8" s="194"/>
      <c r="AX8" s="190"/>
      <c r="AY8" s="195"/>
      <c r="AZ8" s="195" t="s">
        <v>3</v>
      </c>
      <c r="BA8" s="195" t="s">
        <v>30</v>
      </c>
      <c r="BB8" s="191"/>
    </row>
    <row r="9" spans="1:54" x14ac:dyDescent="0.2">
      <c r="A9" s="194"/>
      <c r="B9" s="190"/>
      <c r="C9" s="196" t="s">
        <v>7</v>
      </c>
      <c r="D9" s="196" t="s">
        <v>108</v>
      </c>
      <c r="E9" s="196" t="s">
        <v>109</v>
      </c>
      <c r="F9" s="191"/>
      <c r="G9" s="194"/>
      <c r="H9" s="190"/>
      <c r="I9" s="196" t="s">
        <v>7</v>
      </c>
      <c r="J9" s="196" t="s">
        <v>108</v>
      </c>
      <c r="K9" s="196" t="s">
        <v>109</v>
      </c>
      <c r="L9" s="191"/>
      <c r="M9" s="194"/>
      <c r="N9" s="190"/>
      <c r="O9" s="196" t="s">
        <v>7</v>
      </c>
      <c r="P9" s="196" t="s">
        <v>108</v>
      </c>
      <c r="Q9" s="196" t="s">
        <v>109</v>
      </c>
      <c r="R9" s="191"/>
      <c r="S9" s="194"/>
      <c r="T9" s="190"/>
      <c r="U9" s="196" t="s">
        <v>7</v>
      </c>
      <c r="V9" s="196" t="s">
        <v>108</v>
      </c>
      <c r="W9" s="196" t="s">
        <v>109</v>
      </c>
      <c r="X9" s="191"/>
      <c r="Y9" s="194"/>
      <c r="Z9" s="190"/>
      <c r="AA9" s="196" t="s">
        <v>7</v>
      </c>
      <c r="AB9" s="196" t="s">
        <v>108</v>
      </c>
      <c r="AC9" s="196" t="s">
        <v>109</v>
      </c>
      <c r="AD9" s="191"/>
      <c r="AE9" s="194"/>
      <c r="AF9" s="190"/>
      <c r="AG9" s="196" t="s">
        <v>7</v>
      </c>
      <c r="AH9" s="196" t="s">
        <v>108</v>
      </c>
      <c r="AI9" s="196" t="s">
        <v>109</v>
      </c>
      <c r="AJ9" s="191"/>
      <c r="AK9" s="194"/>
      <c r="AL9" s="190"/>
      <c r="AM9" s="196" t="s">
        <v>7</v>
      </c>
      <c r="AN9" s="196" t="s">
        <v>108</v>
      </c>
      <c r="AO9" s="196" t="s">
        <v>109</v>
      </c>
      <c r="AP9" s="191"/>
      <c r="AQ9" s="194"/>
      <c r="AR9" s="190"/>
      <c r="AS9" s="196" t="s">
        <v>7</v>
      </c>
      <c r="AT9" s="196" t="s">
        <v>108</v>
      </c>
      <c r="AU9" s="196" t="s">
        <v>109</v>
      </c>
      <c r="AV9" s="191"/>
      <c r="AW9" s="194"/>
      <c r="AX9" s="190"/>
      <c r="AY9" s="196" t="s">
        <v>7</v>
      </c>
      <c r="AZ9" s="196" t="s">
        <v>108</v>
      </c>
      <c r="BA9" s="196" t="s">
        <v>109</v>
      </c>
      <c r="BB9" s="191"/>
    </row>
    <row r="10" spans="1:54" ht="16.5" x14ac:dyDescent="0.35">
      <c r="A10" s="197" t="s">
        <v>215</v>
      </c>
      <c r="B10" s="198"/>
      <c r="C10" s="199"/>
      <c r="D10" s="199"/>
      <c r="E10" s="199"/>
      <c r="F10" s="191"/>
      <c r="G10" s="197" t="s">
        <v>215</v>
      </c>
      <c r="H10" s="198"/>
      <c r="I10" s="199"/>
      <c r="J10" s="199"/>
      <c r="K10" s="199"/>
      <c r="L10" s="191"/>
      <c r="M10" s="197" t="s">
        <v>214</v>
      </c>
      <c r="N10" s="198"/>
      <c r="O10" s="199"/>
      <c r="P10" s="199"/>
      <c r="Q10" s="199"/>
      <c r="R10" s="191"/>
      <c r="S10" s="197" t="s">
        <v>136</v>
      </c>
      <c r="T10" s="198"/>
      <c r="U10" s="199"/>
      <c r="V10" s="199"/>
      <c r="W10" s="199"/>
      <c r="X10" s="191"/>
      <c r="Y10" s="197" t="s">
        <v>135</v>
      </c>
      <c r="Z10" s="198"/>
      <c r="AA10" s="199"/>
      <c r="AB10" s="199"/>
      <c r="AC10" s="199"/>
      <c r="AD10" s="191"/>
      <c r="AE10" s="197" t="s">
        <v>110</v>
      </c>
      <c r="AF10" s="198"/>
      <c r="AG10" s="199"/>
      <c r="AH10" s="199"/>
      <c r="AI10" s="199"/>
      <c r="AJ10" s="191"/>
      <c r="AK10" s="197" t="s">
        <v>111</v>
      </c>
      <c r="AL10" s="198"/>
      <c r="AM10" s="199"/>
      <c r="AN10" s="199"/>
      <c r="AO10" s="199"/>
      <c r="AP10" s="191"/>
      <c r="AQ10" s="197" t="s">
        <v>112</v>
      </c>
      <c r="AR10" s="198"/>
      <c r="AS10" s="199"/>
      <c r="AT10" s="199"/>
      <c r="AU10" s="199"/>
      <c r="AV10" s="191"/>
      <c r="AW10" s="197" t="s">
        <v>113</v>
      </c>
      <c r="AX10" s="198"/>
      <c r="AY10" s="199"/>
      <c r="AZ10" s="199"/>
      <c r="BA10" s="199"/>
      <c r="BB10" s="191"/>
    </row>
    <row r="11" spans="1:54" x14ac:dyDescent="0.2">
      <c r="A11" s="200" t="s">
        <v>114</v>
      </c>
      <c r="B11" s="190"/>
      <c r="C11" s="201">
        <f>'WUTC_KENT_SF 181017'!B12</f>
        <v>61994</v>
      </c>
      <c r="D11" s="202">
        <f>J12</f>
        <v>0.92326692151234069</v>
      </c>
      <c r="E11" s="201">
        <f>C11*D11</f>
        <v>57237.00953223605</v>
      </c>
      <c r="F11" s="191"/>
      <c r="G11" s="200" t="s">
        <v>114</v>
      </c>
      <c r="H11" s="190"/>
      <c r="I11" s="201">
        <f>'WUTC_KENT_SF 2018'!B12</f>
        <v>60594</v>
      </c>
      <c r="J11" s="202">
        <f>P12</f>
        <v>0.84141340680845877</v>
      </c>
      <c r="K11" s="201">
        <f>I11*J11</f>
        <v>50984.603972151752</v>
      </c>
      <c r="L11" s="191"/>
      <c r="M11" s="200" t="s">
        <v>114</v>
      </c>
      <c r="N11" s="190"/>
      <c r="O11" s="201">
        <f>'WUTC_KENT_SF (2)'!B12</f>
        <v>60704</v>
      </c>
      <c r="P11" s="202">
        <f>V12</f>
        <v>0.83500186041270619</v>
      </c>
      <c r="Q11" s="201">
        <f>O11*P11</f>
        <v>50687.952934492918</v>
      </c>
      <c r="R11" s="191"/>
      <c r="S11" s="200" t="s">
        <v>114</v>
      </c>
      <c r="T11" s="190"/>
      <c r="U11" s="201">
        <f>SUM('2016 Staff Summary'!D49:D51)</f>
        <v>58596</v>
      </c>
      <c r="V11" s="202">
        <f>AB12</f>
        <v>0.86818933355468986</v>
      </c>
      <c r="W11" s="201">
        <f>U11*V11</f>
        <v>50872.42218897061</v>
      </c>
      <c r="X11" s="191"/>
      <c r="Y11" s="200" t="s">
        <v>114</v>
      </c>
      <c r="Z11" s="190"/>
      <c r="AA11" s="201">
        <f>SUM(WUTC_KENT_SF!B8:B10)</f>
        <v>59580</v>
      </c>
      <c r="AB11" s="202">
        <f>AH12</f>
        <v>0.84198342117709213</v>
      </c>
      <c r="AC11" s="201">
        <f>AA11*AB11</f>
        <v>50165.372233731148</v>
      </c>
      <c r="AD11" s="191"/>
      <c r="AE11" s="200" t="s">
        <v>114</v>
      </c>
      <c r="AF11" s="190"/>
      <c r="AG11" s="201">
        <f>SUM([1]WUTC_KENT_SF!B8:B10)</f>
        <v>74948</v>
      </c>
      <c r="AH11" s="202">
        <f>AN12</f>
        <v>1.4668239603813917</v>
      </c>
      <c r="AI11" s="201">
        <f>AG11*AH11</f>
        <v>109935.52218266454</v>
      </c>
      <c r="AJ11" s="191"/>
      <c r="AK11" s="200" t="s">
        <v>114</v>
      </c>
      <c r="AL11" s="190"/>
      <c r="AM11" s="201">
        <f>SUM([2]WUTC_KENT_SF!B8:B10)</f>
        <v>77299</v>
      </c>
      <c r="AN11" s="202">
        <f>AT12</f>
        <v>0.77590547688775546</v>
      </c>
      <c r="AO11" s="201">
        <f>AM11*AN11</f>
        <v>59976.717457946608</v>
      </c>
      <c r="AP11" s="191"/>
      <c r="AQ11" s="200" t="s">
        <v>115</v>
      </c>
      <c r="AR11" s="190"/>
      <c r="AS11" s="201">
        <f>[3]WUTC_KENT_SF!$F$34</f>
        <v>77359</v>
      </c>
      <c r="AT11" s="202">
        <f>AZ12</f>
        <v>0.45900000000000002</v>
      </c>
      <c r="AU11" s="201">
        <f>AS11*AT11</f>
        <v>35507.781000000003</v>
      </c>
      <c r="AV11" s="191"/>
      <c r="AW11" s="200" t="s">
        <v>116</v>
      </c>
      <c r="AX11" s="190"/>
      <c r="AY11" s="201">
        <f>[4]WUTC_KENT_SF!$F$34</f>
        <v>88860</v>
      </c>
      <c r="AZ11" s="202">
        <f>[4]WUTC_KENT_SF!$F$33</f>
        <v>0.86499999999999999</v>
      </c>
      <c r="BA11" s="201">
        <f>AY11*AZ11</f>
        <v>76863.899999999994</v>
      </c>
      <c r="BB11" s="191"/>
    </row>
    <row r="12" spans="1:54" ht="15" x14ac:dyDescent="0.35">
      <c r="A12" s="203" t="s">
        <v>117</v>
      </c>
      <c r="B12" s="204"/>
      <c r="C12" s="205">
        <f>'WUTC_KENT_SF 181017'!B24</f>
        <v>62225</v>
      </c>
      <c r="D12" s="202">
        <f>L25</f>
        <v>0.40744081568794471</v>
      </c>
      <c r="E12" s="205">
        <f>C12*D12</f>
        <v>25353.004756182359</v>
      </c>
      <c r="F12" s="191"/>
      <c r="G12" s="203" t="s">
        <v>117</v>
      </c>
      <c r="H12" s="204"/>
      <c r="I12" s="205">
        <f>'WUTC_KENT_SF 2018'!B24</f>
        <v>184472</v>
      </c>
      <c r="J12" s="202">
        <f>R25</f>
        <v>0.92326692151234069</v>
      </c>
      <c r="K12" s="205">
        <f>I12*J12</f>
        <v>170316.89554522451</v>
      </c>
      <c r="L12" s="191"/>
      <c r="M12" s="203" t="s">
        <v>117</v>
      </c>
      <c r="N12" s="204"/>
      <c r="O12" s="205">
        <f>'WUTC_KENT_SF (2)'!B24</f>
        <v>181484</v>
      </c>
      <c r="P12" s="202">
        <f>X25+0.1</f>
        <v>0.84141340680845877</v>
      </c>
      <c r="Q12" s="205">
        <f>O12*P12</f>
        <v>152703.07072122634</v>
      </c>
      <c r="R12" s="191"/>
      <c r="S12" s="203" t="s">
        <v>117</v>
      </c>
      <c r="T12" s="204"/>
      <c r="U12" s="205">
        <f>SUM('2016 Staff Summary'!D52:D60)</f>
        <v>178996</v>
      </c>
      <c r="V12" s="202">
        <f>AD25</f>
        <v>0.83500186041270619</v>
      </c>
      <c r="W12" s="205">
        <f>U12*V12</f>
        <v>149461.99300643275</v>
      </c>
      <c r="X12" s="191"/>
      <c r="Y12" s="203" t="s">
        <v>117</v>
      </c>
      <c r="Z12" s="204"/>
      <c r="AA12" s="205">
        <f>SUM(WUTC_KENT_SF!B14:B22)</f>
        <v>179082</v>
      </c>
      <c r="AB12" s="202">
        <f>AJ25</f>
        <v>0.86818933355468986</v>
      </c>
      <c r="AC12" s="205">
        <f>AA12*AB12</f>
        <v>155477.08223164096</v>
      </c>
      <c r="AD12" s="191"/>
      <c r="AE12" s="203" t="s">
        <v>117</v>
      </c>
      <c r="AF12" s="204"/>
      <c r="AG12" s="205">
        <f>SUM([1]WUTC_KENT_SF!B14:B22)</f>
        <v>199188</v>
      </c>
      <c r="AH12" s="202">
        <f>AP25</f>
        <v>0.84198342117709213</v>
      </c>
      <c r="AI12" s="205">
        <f>AG12*AH12</f>
        <v>167712.99369742261</v>
      </c>
      <c r="AJ12" s="191"/>
      <c r="AK12" s="203" t="s">
        <v>117</v>
      </c>
      <c r="AL12" s="204"/>
      <c r="AM12" s="205">
        <f>SUM([2]WUTC_KENT_SF!B14:B22)</f>
        <v>234556</v>
      </c>
      <c r="AN12" s="202">
        <f>AV25</f>
        <v>1.4668239603813917</v>
      </c>
      <c r="AO12" s="205">
        <f>AM12*AN12</f>
        <v>344052.3608512177</v>
      </c>
      <c r="AP12" s="191"/>
      <c r="AQ12" s="203" t="s">
        <v>118</v>
      </c>
      <c r="AR12" s="204"/>
      <c r="AS12" s="205">
        <f>[3]WUTC_KENT_SF!$F$38</f>
        <v>179490</v>
      </c>
      <c r="AT12" s="202">
        <f>BB25</f>
        <v>0.77590547688775546</v>
      </c>
      <c r="AU12" s="205">
        <f>AS12*AT12</f>
        <v>139267.27404658322</v>
      </c>
      <c r="AV12" s="191"/>
      <c r="AW12" s="203" t="s">
        <v>119</v>
      </c>
      <c r="AX12" s="204"/>
      <c r="AY12" s="205">
        <f>[4]WUTC_KENT_SF!$F$38</f>
        <v>217774</v>
      </c>
      <c r="AZ12" s="202">
        <f>[4]WUTC_KENT_SF!$F$37</f>
        <v>0.45900000000000002</v>
      </c>
      <c r="BA12" s="205">
        <f>AY12*AZ12</f>
        <v>99958.266000000003</v>
      </c>
      <c r="BB12" s="191"/>
    </row>
    <row r="13" spans="1:54" x14ac:dyDescent="0.2">
      <c r="A13" s="194" t="s">
        <v>30</v>
      </c>
      <c r="B13" s="190"/>
      <c r="C13" s="201">
        <f>SUM(C11:C12)</f>
        <v>124219</v>
      </c>
      <c r="D13" s="190"/>
      <c r="E13" s="201">
        <f>SUM(E11:E12)</f>
        <v>82590.014288418402</v>
      </c>
      <c r="F13" s="191"/>
      <c r="G13" s="194" t="s">
        <v>30</v>
      </c>
      <c r="H13" s="190"/>
      <c r="I13" s="201">
        <f>SUM(I11:I12)</f>
        <v>245066</v>
      </c>
      <c r="J13" s="190"/>
      <c r="K13" s="201">
        <f>SUM(K11:K12)</f>
        <v>221301.49951737627</v>
      </c>
      <c r="L13" s="191"/>
      <c r="M13" s="194" t="s">
        <v>30</v>
      </c>
      <c r="N13" s="190"/>
      <c r="O13" s="201">
        <f>SUM(O11:O12)</f>
        <v>242188</v>
      </c>
      <c r="P13" s="190"/>
      <c r="Q13" s="201">
        <f>SUM(Q11:Q12)</f>
        <v>203391.02365571924</v>
      </c>
      <c r="R13" s="191"/>
      <c r="S13" s="194" t="s">
        <v>30</v>
      </c>
      <c r="T13" s="190"/>
      <c r="U13" s="201">
        <f>SUM(U11:U12)</f>
        <v>237592</v>
      </c>
      <c r="V13" s="190"/>
      <c r="W13" s="201">
        <f>SUM(W11:W12)</f>
        <v>200334.41519540336</v>
      </c>
      <c r="X13" s="191"/>
      <c r="Y13" s="194" t="s">
        <v>30</v>
      </c>
      <c r="Z13" s="190"/>
      <c r="AA13" s="201">
        <f>SUM(AA11:AA12)</f>
        <v>238662</v>
      </c>
      <c r="AB13" s="190"/>
      <c r="AC13" s="201">
        <f>SUM(AC11:AC12)</f>
        <v>205642.45446537211</v>
      </c>
      <c r="AD13" s="191"/>
      <c r="AE13" s="194" t="s">
        <v>30</v>
      </c>
      <c r="AF13" s="190"/>
      <c r="AG13" s="201">
        <f>SUM(AG11:AG12)</f>
        <v>274136</v>
      </c>
      <c r="AH13" s="190"/>
      <c r="AI13" s="201">
        <f>SUM(AI11:AI12)</f>
        <v>277648.51588008716</v>
      </c>
      <c r="AJ13" s="191"/>
      <c r="AK13" s="194" t="s">
        <v>30</v>
      </c>
      <c r="AL13" s="190"/>
      <c r="AM13" s="201">
        <f>SUM(AM11:AM12)</f>
        <v>311855</v>
      </c>
      <c r="AN13" s="190"/>
      <c r="AO13" s="201">
        <f>SUM(AO11:AO12)</f>
        <v>404029.07830916432</v>
      </c>
      <c r="AP13" s="191"/>
      <c r="AQ13" s="194" t="s">
        <v>30</v>
      </c>
      <c r="AR13" s="190"/>
      <c r="AS13" s="201">
        <f>SUM(AS11:AS12)</f>
        <v>256849</v>
      </c>
      <c r="AT13" s="190"/>
      <c r="AU13" s="201">
        <f>SUM(AU11:AU12)</f>
        <v>174775.05504658323</v>
      </c>
      <c r="AV13" s="191"/>
      <c r="AW13" s="194" t="s">
        <v>30</v>
      </c>
      <c r="AX13" s="190"/>
      <c r="AY13" s="201">
        <f>SUM(AY11:AY12)</f>
        <v>306634</v>
      </c>
      <c r="AZ13" s="190"/>
      <c r="BA13" s="201">
        <f>SUM(BA11:BA12)</f>
        <v>176822.166</v>
      </c>
      <c r="BB13" s="191"/>
    </row>
    <row r="14" spans="1:54" x14ac:dyDescent="0.2">
      <c r="A14" s="194"/>
      <c r="B14" s="190"/>
      <c r="C14" s="190"/>
      <c r="D14" s="190"/>
      <c r="E14" s="190"/>
      <c r="F14" s="191"/>
      <c r="G14" s="194"/>
      <c r="H14" s="190"/>
      <c r="I14" s="190"/>
      <c r="J14" s="190"/>
      <c r="K14" s="190"/>
      <c r="L14" s="191"/>
      <c r="M14" s="194"/>
      <c r="N14" s="190"/>
      <c r="O14" s="190"/>
      <c r="P14" s="190"/>
      <c r="Q14" s="190"/>
      <c r="R14" s="191"/>
      <c r="S14" s="194"/>
      <c r="T14" s="190"/>
      <c r="U14" s="190"/>
      <c r="V14" s="190"/>
      <c r="W14" s="190"/>
      <c r="X14" s="191"/>
      <c r="Y14" s="194"/>
      <c r="Z14" s="190"/>
      <c r="AA14" s="190"/>
      <c r="AB14" s="190"/>
      <c r="AC14" s="190"/>
      <c r="AD14" s="191"/>
      <c r="AE14" s="194"/>
      <c r="AF14" s="190"/>
      <c r="AG14" s="190"/>
      <c r="AH14" s="190"/>
      <c r="AI14" s="190"/>
      <c r="AJ14" s="191"/>
      <c r="AK14" s="194"/>
      <c r="AL14" s="190"/>
      <c r="AM14" s="190"/>
      <c r="AN14" s="190"/>
      <c r="AO14" s="190"/>
      <c r="AP14" s="191"/>
      <c r="AQ14" s="194"/>
      <c r="AR14" s="190"/>
      <c r="AS14" s="190"/>
      <c r="AT14" s="190"/>
      <c r="AU14" s="190"/>
      <c r="AV14" s="191"/>
      <c r="AW14" s="194"/>
      <c r="AX14" s="190"/>
      <c r="AY14" s="190"/>
      <c r="AZ14" s="190"/>
      <c r="BA14" s="190"/>
      <c r="BB14" s="191"/>
    </row>
    <row r="15" spans="1:54" x14ac:dyDescent="0.2">
      <c r="A15" s="194" t="s">
        <v>120</v>
      </c>
      <c r="B15" s="190"/>
      <c r="C15" s="190"/>
      <c r="D15" s="190"/>
      <c r="E15" s="201">
        <f>'Value 181017'!M20</f>
        <v>71413.496530009928</v>
      </c>
      <c r="F15" s="191"/>
      <c r="G15" s="194" t="s">
        <v>120</v>
      </c>
      <c r="H15" s="190"/>
      <c r="I15" s="190"/>
      <c r="J15" s="190"/>
      <c r="K15" s="201">
        <f>'WUTC_KENT_SF 2018'!D26</f>
        <v>155868.90607194492</v>
      </c>
      <c r="L15" s="191"/>
      <c r="M15" s="194" t="s">
        <v>120</v>
      </c>
      <c r="N15" s="190"/>
      <c r="O15" s="190"/>
      <c r="P15" s="190"/>
      <c r="Q15" s="201">
        <f>'WUTC_KENT_SF (2)'!D26</f>
        <v>223604.16918723076</v>
      </c>
      <c r="R15" s="191"/>
      <c r="S15" s="194" t="s">
        <v>120</v>
      </c>
      <c r="T15" s="190"/>
      <c r="U15" s="190"/>
      <c r="V15" s="190"/>
      <c r="W15" s="201">
        <f>'2016 Staff Summary'!F5</f>
        <v>176153.89415043534</v>
      </c>
      <c r="X15" s="191"/>
      <c r="Y15" s="194" t="s">
        <v>120</v>
      </c>
      <c r="Z15" s="190"/>
      <c r="AA15" s="190"/>
      <c r="AB15" s="190"/>
      <c r="AC15" s="201">
        <f>'Single Family'!P93</f>
        <v>199283.21400981728</v>
      </c>
      <c r="AD15" s="191"/>
      <c r="AE15" s="194" t="s">
        <v>120</v>
      </c>
      <c r="AF15" s="190"/>
      <c r="AG15" s="190"/>
      <c r="AH15" s="190"/>
      <c r="AI15" s="201">
        <f>[1]Value!O20</f>
        <v>263558.91103915818</v>
      </c>
      <c r="AJ15" s="191"/>
      <c r="AK15" s="194" t="s">
        <v>120</v>
      </c>
      <c r="AL15" s="190"/>
      <c r="AM15" s="190"/>
      <c r="AN15" s="190"/>
      <c r="AO15" s="201">
        <f>[2]WUTC_KENT_SF!G31</f>
        <v>341689</v>
      </c>
      <c r="AP15" s="191"/>
      <c r="AQ15" s="187" t="s">
        <v>121</v>
      </c>
      <c r="AR15" s="190"/>
      <c r="AS15" s="190"/>
      <c r="AT15" s="190"/>
      <c r="AU15" s="201">
        <f>[3]WUTC_KENT_SF!$G$31</f>
        <v>260206</v>
      </c>
      <c r="AV15" s="191"/>
      <c r="AW15" s="187" t="s">
        <v>121</v>
      </c>
      <c r="AX15" s="190"/>
      <c r="AY15" s="190"/>
      <c r="AZ15" s="190"/>
      <c r="BA15" s="201">
        <f>[4]WUTC_KENT_SF!$G$31</f>
        <v>237919</v>
      </c>
      <c r="BB15" s="191"/>
    </row>
    <row r="16" spans="1:54" x14ac:dyDescent="0.2">
      <c r="A16" s="194" t="s">
        <v>236</v>
      </c>
      <c r="B16" s="190"/>
      <c r="C16" s="190"/>
      <c r="D16" s="190"/>
      <c r="E16" s="201">
        <f>'Value 181017'!O20</f>
        <v>35706.748265004964</v>
      </c>
      <c r="F16" s="191"/>
      <c r="G16" s="194"/>
      <c r="H16" s="190"/>
      <c r="I16" s="190"/>
      <c r="J16" s="190"/>
      <c r="K16" s="190"/>
      <c r="L16" s="191"/>
      <c r="M16" s="194"/>
      <c r="N16" s="190"/>
      <c r="O16" s="190"/>
      <c r="P16" s="190"/>
      <c r="Q16" s="190"/>
      <c r="R16" s="191"/>
      <c r="S16" s="194"/>
      <c r="T16" s="190"/>
      <c r="U16" s="190"/>
      <c r="V16" s="190"/>
      <c r="W16" s="190"/>
      <c r="X16" s="191"/>
      <c r="Y16" s="194"/>
      <c r="Z16" s="190"/>
      <c r="AA16" s="190"/>
      <c r="AB16" s="190"/>
      <c r="AC16" s="190"/>
      <c r="AD16" s="191"/>
      <c r="AE16" s="194"/>
      <c r="AF16" s="190"/>
      <c r="AG16" s="190"/>
      <c r="AH16" s="190"/>
      <c r="AI16" s="190"/>
      <c r="AJ16" s="191"/>
      <c r="AK16" s="194"/>
      <c r="AL16" s="190"/>
      <c r="AM16" s="190"/>
      <c r="AN16" s="190"/>
      <c r="AO16" s="190"/>
      <c r="AP16" s="191"/>
      <c r="AQ16" s="194"/>
      <c r="AR16" s="190"/>
      <c r="AS16" s="190"/>
      <c r="AT16" s="190"/>
      <c r="AU16" s="190"/>
      <c r="AV16" s="191"/>
      <c r="AW16" s="194"/>
      <c r="AX16" s="190"/>
      <c r="AY16" s="190"/>
      <c r="AZ16" s="190"/>
      <c r="BA16" s="190"/>
      <c r="BB16" s="191"/>
    </row>
    <row r="17" spans="1:54" x14ac:dyDescent="0.2">
      <c r="A17" s="194"/>
      <c r="B17" s="190"/>
      <c r="C17" s="190"/>
      <c r="D17" s="190"/>
      <c r="E17" s="190"/>
      <c r="F17" s="191"/>
      <c r="G17" s="194" t="s">
        <v>122</v>
      </c>
      <c r="H17" s="190"/>
      <c r="I17" s="190"/>
      <c r="J17" s="190"/>
      <c r="K17" s="201">
        <f>K15-K13</f>
        <v>-65432.593445431354</v>
      </c>
      <c r="L17" s="191"/>
      <c r="M17" s="194" t="s">
        <v>122</v>
      </c>
      <c r="N17" s="190"/>
      <c r="O17" s="190"/>
      <c r="P17" s="190"/>
      <c r="Q17" s="201">
        <f>Q15-Q13</f>
        <v>20213.145531511516</v>
      </c>
      <c r="R17" s="191"/>
      <c r="S17" s="194" t="s">
        <v>122</v>
      </c>
      <c r="T17" s="190"/>
      <c r="U17" s="190"/>
      <c r="V17" s="190"/>
      <c r="W17" s="201">
        <f>W15-W13</f>
        <v>-24180.521044968016</v>
      </c>
      <c r="X17" s="191"/>
      <c r="Y17" s="194" t="s">
        <v>122</v>
      </c>
      <c r="Z17" s="190"/>
      <c r="AA17" s="190"/>
      <c r="AB17" s="190"/>
      <c r="AC17" s="201">
        <f>AC15-AC13</f>
        <v>-6359.2404555548273</v>
      </c>
      <c r="AD17" s="191"/>
      <c r="AE17" s="194" t="s">
        <v>122</v>
      </c>
      <c r="AF17" s="190"/>
      <c r="AG17" s="190"/>
      <c r="AH17" s="190"/>
      <c r="AI17" s="201">
        <f>AI15-AI13</f>
        <v>-14089.60484092898</v>
      </c>
      <c r="AJ17" s="191"/>
      <c r="AK17" s="194" t="s">
        <v>122</v>
      </c>
      <c r="AL17" s="190"/>
      <c r="AM17" s="190"/>
      <c r="AN17" s="190"/>
      <c r="AO17" s="201">
        <f>AO15-AO13</f>
        <v>-62340.078309164324</v>
      </c>
      <c r="AP17" s="191"/>
      <c r="AQ17" s="194" t="s">
        <v>122</v>
      </c>
      <c r="AR17" s="190"/>
      <c r="AS17" s="190"/>
      <c r="AT17" s="190"/>
      <c r="AU17" s="201">
        <f>+AU15-AU13</f>
        <v>85430.944953416765</v>
      </c>
      <c r="AV17" s="191"/>
      <c r="AW17" s="194" t="s">
        <v>122</v>
      </c>
      <c r="AX17" s="190"/>
      <c r="AY17" s="190"/>
      <c r="AZ17" s="190"/>
      <c r="BA17" s="201">
        <f>+BA15-BA13</f>
        <v>61096.834000000003</v>
      </c>
      <c r="BB17" s="191"/>
    </row>
    <row r="18" spans="1:54" x14ac:dyDescent="0.2">
      <c r="A18" s="194" t="s">
        <v>122</v>
      </c>
      <c r="B18" s="190"/>
      <c r="C18" s="190"/>
      <c r="D18" s="190"/>
      <c r="E18" s="201">
        <f>E15-E13-E16</f>
        <v>-46883.266023413438</v>
      </c>
      <c r="F18" s="191"/>
      <c r="G18" s="194"/>
      <c r="H18" s="190"/>
      <c r="I18" s="190"/>
      <c r="J18" s="190"/>
      <c r="K18" s="190"/>
      <c r="L18" s="191"/>
      <c r="M18" s="194"/>
      <c r="N18" s="190"/>
      <c r="O18" s="190"/>
      <c r="P18" s="190"/>
      <c r="Q18" s="190"/>
      <c r="R18" s="191"/>
      <c r="S18" s="194"/>
      <c r="T18" s="190"/>
      <c r="U18" s="190"/>
      <c r="V18" s="190"/>
      <c r="W18" s="190"/>
      <c r="X18" s="191"/>
      <c r="Y18" s="194"/>
      <c r="Z18" s="190"/>
      <c r="AA18" s="190"/>
      <c r="AB18" s="190"/>
      <c r="AC18" s="190"/>
      <c r="AD18" s="191"/>
      <c r="AE18" s="194"/>
      <c r="AF18" s="190"/>
      <c r="AG18" s="190"/>
      <c r="AH18" s="190"/>
      <c r="AI18" s="190"/>
      <c r="AJ18" s="191"/>
      <c r="AK18" s="194"/>
      <c r="AL18" s="190"/>
      <c r="AM18" s="190"/>
      <c r="AN18" s="190"/>
      <c r="AO18" s="190"/>
      <c r="AP18" s="191"/>
      <c r="AQ18" s="194"/>
      <c r="AR18" s="190"/>
      <c r="AS18" s="190"/>
      <c r="AT18" s="190"/>
      <c r="AU18" s="190"/>
      <c r="AV18" s="191"/>
      <c r="AW18" s="194"/>
      <c r="AX18" s="190"/>
      <c r="AY18" s="190"/>
      <c r="AZ18" s="190"/>
      <c r="BA18" s="190"/>
      <c r="BB18" s="191"/>
    </row>
    <row r="19" spans="1:54" x14ac:dyDescent="0.2">
      <c r="A19" s="194"/>
      <c r="B19" s="190"/>
      <c r="C19" s="190"/>
      <c r="D19" s="190"/>
      <c r="E19" s="190"/>
      <c r="F19" s="191"/>
      <c r="G19" s="194" t="s">
        <v>123</v>
      </c>
      <c r="H19" s="190"/>
      <c r="I19" s="190"/>
      <c r="J19" s="190"/>
      <c r="K19" s="201">
        <f>+I13</f>
        <v>245066</v>
      </c>
      <c r="L19" s="191"/>
      <c r="M19" s="194" t="s">
        <v>123</v>
      </c>
      <c r="N19" s="190"/>
      <c r="O19" s="190"/>
      <c r="P19" s="190"/>
      <c r="Q19" s="201">
        <f>+O13</f>
        <v>242188</v>
      </c>
      <c r="R19" s="191"/>
      <c r="S19" s="194" t="s">
        <v>123</v>
      </c>
      <c r="T19" s="190"/>
      <c r="U19" s="190"/>
      <c r="V19" s="190"/>
      <c r="W19" s="201">
        <f>+U13</f>
        <v>237592</v>
      </c>
      <c r="X19" s="191"/>
      <c r="Y19" s="194" t="s">
        <v>123</v>
      </c>
      <c r="Z19" s="190"/>
      <c r="AA19" s="190"/>
      <c r="AB19" s="190"/>
      <c r="AC19" s="201">
        <f>+AA13</f>
        <v>238662</v>
      </c>
      <c r="AD19" s="191"/>
      <c r="AE19" s="194" t="s">
        <v>123</v>
      </c>
      <c r="AF19" s="190"/>
      <c r="AG19" s="190"/>
      <c r="AH19" s="190"/>
      <c r="AI19" s="201">
        <f>+AG13</f>
        <v>274136</v>
      </c>
      <c r="AJ19" s="191"/>
      <c r="AK19" s="194" t="s">
        <v>123</v>
      </c>
      <c r="AL19" s="190"/>
      <c r="AM19" s="190"/>
      <c r="AN19" s="190"/>
      <c r="AO19" s="201">
        <f>+AM13</f>
        <v>311855</v>
      </c>
      <c r="AP19" s="191"/>
      <c r="AQ19" s="203" t="s">
        <v>123</v>
      </c>
      <c r="AR19" s="190"/>
      <c r="AS19" s="190"/>
      <c r="AT19" s="190"/>
      <c r="AU19" s="201">
        <f>AS13</f>
        <v>256849</v>
      </c>
      <c r="AV19" s="191"/>
      <c r="AW19" s="203" t="s">
        <v>123</v>
      </c>
      <c r="AX19" s="190"/>
      <c r="AY19" s="190"/>
      <c r="AZ19" s="190"/>
      <c r="BA19" s="201">
        <f>+AY13</f>
        <v>306634</v>
      </c>
      <c r="BB19" s="191"/>
    </row>
    <row r="20" spans="1:54" x14ac:dyDescent="0.2">
      <c r="A20" s="194" t="s">
        <v>123</v>
      </c>
      <c r="B20" s="190"/>
      <c r="C20" s="190"/>
      <c r="D20" s="190"/>
      <c r="E20" s="201">
        <f>+C13</f>
        <v>124219</v>
      </c>
      <c r="F20" s="191"/>
      <c r="G20" s="194"/>
      <c r="H20" s="190"/>
      <c r="I20" s="190"/>
      <c r="J20" s="190"/>
      <c r="K20" s="190"/>
      <c r="L20" s="191"/>
      <c r="M20" s="194"/>
      <c r="N20" s="190"/>
      <c r="O20" s="190"/>
      <c r="P20" s="190"/>
      <c r="Q20" s="190"/>
      <c r="R20" s="191"/>
      <c r="S20" s="194"/>
      <c r="T20" s="190"/>
      <c r="U20" s="190"/>
      <c r="V20" s="190"/>
      <c r="W20" s="190"/>
      <c r="X20" s="191"/>
      <c r="Y20" s="194"/>
      <c r="Z20" s="190"/>
      <c r="AA20" s="190"/>
      <c r="AB20" s="190"/>
      <c r="AC20" s="190"/>
      <c r="AD20" s="191"/>
      <c r="AE20" s="194"/>
      <c r="AF20" s="190"/>
      <c r="AG20" s="190"/>
      <c r="AH20" s="190"/>
      <c r="AI20" s="190"/>
      <c r="AJ20" s="191"/>
      <c r="AK20" s="194"/>
      <c r="AL20" s="190"/>
      <c r="AM20" s="190"/>
      <c r="AN20" s="190"/>
      <c r="AO20" s="190"/>
      <c r="AP20" s="191"/>
      <c r="AQ20" s="194"/>
      <c r="AR20" s="190"/>
      <c r="AS20" s="190"/>
      <c r="AT20" s="190"/>
      <c r="AU20" s="190"/>
      <c r="AV20" s="191"/>
      <c r="AW20" s="194"/>
      <c r="AX20" s="190"/>
      <c r="AY20" s="190"/>
      <c r="AZ20" s="190"/>
      <c r="BA20" s="190"/>
      <c r="BB20" s="191"/>
    </row>
    <row r="21" spans="1:54" x14ac:dyDescent="0.2">
      <c r="A21" s="194"/>
      <c r="B21" s="190"/>
      <c r="C21" s="190"/>
      <c r="D21" s="190"/>
      <c r="E21" s="190"/>
      <c r="F21" s="206">
        <f>(E18/E20)</f>
        <v>-0.37742427505786907</v>
      </c>
      <c r="G21" s="194" t="s">
        <v>124</v>
      </c>
      <c r="H21" s="190"/>
      <c r="I21" s="190"/>
      <c r="J21" s="190"/>
      <c r="K21" s="190"/>
      <c r="L21" s="206">
        <f>(K17/K19)</f>
        <v>-0.26699988348212872</v>
      </c>
      <c r="M21" s="194" t="s">
        <v>124</v>
      </c>
      <c r="N21" s="190"/>
      <c r="O21" s="190"/>
      <c r="P21" s="190"/>
      <c r="Q21" s="190"/>
      <c r="R21" s="206">
        <f>(Q17/Q19)</f>
        <v>8.3460557630896312E-2</v>
      </c>
      <c r="S21" s="194" t="s">
        <v>124</v>
      </c>
      <c r="T21" s="190"/>
      <c r="U21" s="190"/>
      <c r="V21" s="190"/>
      <c r="W21" s="190"/>
      <c r="X21" s="206">
        <f>(W17/W19)</f>
        <v>-0.1017732964281963</v>
      </c>
      <c r="Y21" s="194" t="s">
        <v>124</v>
      </c>
      <c r="Z21" s="190"/>
      <c r="AA21" s="190"/>
      <c r="AB21" s="190"/>
      <c r="AC21" s="190"/>
      <c r="AD21" s="206">
        <f>(AC17/AC19)</f>
        <v>-2.6645383243058499E-2</v>
      </c>
      <c r="AE21" s="194" t="s">
        <v>124</v>
      </c>
      <c r="AF21" s="190"/>
      <c r="AG21" s="190"/>
      <c r="AH21" s="190"/>
      <c r="AI21" s="190"/>
      <c r="AJ21" s="206">
        <f>(AI17/AI19)</f>
        <v>-5.139640485353613E-2</v>
      </c>
      <c r="AK21" s="194" t="s">
        <v>124</v>
      </c>
      <c r="AL21" s="190"/>
      <c r="AM21" s="190"/>
      <c r="AN21" s="190"/>
      <c r="AO21" s="190"/>
      <c r="AP21" s="206">
        <f>(AO17/AO19)</f>
        <v>-0.19990084593533639</v>
      </c>
      <c r="AQ21" s="194" t="s">
        <v>124</v>
      </c>
      <c r="AR21" s="190"/>
      <c r="AS21" s="190"/>
      <c r="AT21" s="190"/>
      <c r="AU21" s="190"/>
      <c r="AV21" s="206">
        <f>(AU17/AU19)</f>
        <v>0.33261155368880846</v>
      </c>
      <c r="AW21" s="194" t="s">
        <v>124</v>
      </c>
      <c r="AX21" s="190"/>
      <c r="AY21" s="190"/>
      <c r="AZ21" s="190"/>
      <c r="BA21" s="190"/>
      <c r="BB21" s="206">
        <f>(BA17/BA19)</f>
        <v>0.19925003098156108</v>
      </c>
    </row>
    <row r="22" spans="1:54" x14ac:dyDescent="0.2">
      <c r="A22" s="194" t="s">
        <v>124</v>
      </c>
      <c r="B22" s="190"/>
      <c r="C22" s="190"/>
      <c r="D22" s="190"/>
      <c r="E22" s="190"/>
      <c r="F22" s="206"/>
      <c r="G22" s="194"/>
      <c r="H22" s="190"/>
      <c r="I22" s="190"/>
      <c r="J22" s="190"/>
      <c r="K22" s="190"/>
      <c r="L22" s="206"/>
      <c r="M22" s="194"/>
      <c r="N22" s="190"/>
      <c r="O22" s="190"/>
      <c r="P22" s="190"/>
      <c r="Q22" s="190"/>
      <c r="R22" s="206"/>
      <c r="S22" s="194"/>
      <c r="T22" s="190"/>
      <c r="U22" s="190"/>
      <c r="V22" s="190"/>
      <c r="W22" s="190"/>
      <c r="X22" s="206"/>
      <c r="Y22" s="194"/>
      <c r="Z22" s="190"/>
      <c r="AA22" s="190"/>
      <c r="AB22" s="190"/>
      <c r="AC22" s="190"/>
      <c r="AD22" s="206"/>
      <c r="AE22" s="194"/>
      <c r="AF22" s="190"/>
      <c r="AG22" s="190"/>
      <c r="AH22" s="190"/>
      <c r="AI22" s="190"/>
      <c r="AJ22" s="206"/>
      <c r="AK22" s="194"/>
      <c r="AL22" s="190"/>
      <c r="AM22" s="190"/>
      <c r="AN22" s="190"/>
      <c r="AO22" s="190"/>
      <c r="AP22" s="206"/>
      <c r="AQ22" s="194"/>
      <c r="AR22" s="190"/>
      <c r="AS22" s="190"/>
      <c r="AT22" s="190"/>
      <c r="AU22" s="190"/>
      <c r="AV22" s="206"/>
      <c r="AW22" s="194"/>
      <c r="AX22" s="190"/>
      <c r="AY22" s="190"/>
      <c r="AZ22" s="190"/>
      <c r="BA22" s="190"/>
      <c r="BB22" s="206"/>
    </row>
    <row r="23" spans="1:54" ht="16.5" x14ac:dyDescent="0.35">
      <c r="A23" s="194"/>
      <c r="B23" s="190"/>
      <c r="C23" s="190"/>
      <c r="D23" s="190"/>
      <c r="E23" s="190"/>
      <c r="F23" s="206"/>
      <c r="G23" s="197" t="s">
        <v>222</v>
      </c>
      <c r="H23" s="198"/>
      <c r="I23" s="190"/>
      <c r="J23" s="190"/>
      <c r="K23" s="207">
        <f>'WUTC_KENT_SF 2018'!D29</f>
        <v>50238.267455954956</v>
      </c>
      <c r="L23" s="206"/>
      <c r="M23" s="197" t="s">
        <v>215</v>
      </c>
      <c r="N23" s="198"/>
      <c r="O23" s="190"/>
      <c r="P23" s="190"/>
      <c r="Q23" s="207">
        <f>Q15</f>
        <v>223604.16918723076</v>
      </c>
      <c r="R23" s="206"/>
      <c r="S23" s="197" t="s">
        <v>214</v>
      </c>
      <c r="T23" s="198"/>
      <c r="U23" s="190"/>
      <c r="V23" s="190"/>
      <c r="W23" s="207">
        <f>W15</f>
        <v>176153.89415043534</v>
      </c>
      <c r="X23" s="206"/>
      <c r="Y23" s="197" t="s">
        <v>136</v>
      </c>
      <c r="Z23" s="198"/>
      <c r="AA23" s="190"/>
      <c r="AB23" s="190"/>
      <c r="AC23" s="207">
        <f>AC15</f>
        <v>199283.21400981728</v>
      </c>
      <c r="AD23" s="206"/>
      <c r="AE23" s="197" t="s">
        <v>135</v>
      </c>
      <c r="AF23" s="198"/>
      <c r="AG23" s="190"/>
      <c r="AH23" s="190"/>
      <c r="AI23" s="207">
        <f>[1]Value!M20*[1]WUTC_KENT_SF!N56</f>
        <v>238001.95114334844</v>
      </c>
      <c r="AJ23" s="206"/>
      <c r="AK23" s="197" t="s">
        <v>110</v>
      </c>
      <c r="AL23" s="198"/>
      <c r="AM23" s="190"/>
      <c r="AN23" s="190"/>
      <c r="AO23" s="207">
        <f>[2]Value!M20*[2]WUTC_KENT_SF!N56</f>
        <v>262576.73981118208</v>
      </c>
      <c r="AP23" s="206"/>
      <c r="AQ23" s="197" t="s">
        <v>112</v>
      </c>
      <c r="AR23" s="198"/>
      <c r="AS23" s="190"/>
      <c r="AT23" s="190"/>
      <c r="AU23" s="207">
        <f>AU15/7*12</f>
        <v>446067.42857142864</v>
      </c>
      <c r="AV23" s="206"/>
      <c r="AW23" s="197" t="s">
        <v>125</v>
      </c>
      <c r="AX23" s="198"/>
      <c r="AY23" s="190"/>
      <c r="AZ23" s="190"/>
      <c r="BA23" s="208">
        <f>+BA15</f>
        <v>237919</v>
      </c>
      <c r="BB23" s="206"/>
    </row>
    <row r="24" spans="1:54" ht="16.5" x14ac:dyDescent="0.35">
      <c r="A24" s="197" t="s">
        <v>222</v>
      </c>
      <c r="B24" s="198"/>
      <c r="C24" s="190"/>
      <c r="D24" s="190"/>
      <c r="E24" s="207">
        <f>E15</f>
        <v>71413.496530009928</v>
      </c>
      <c r="F24" s="206"/>
      <c r="G24" s="194" t="s">
        <v>123</v>
      </c>
      <c r="H24" s="190"/>
      <c r="I24" s="190"/>
      <c r="J24" s="190"/>
      <c r="K24" s="201">
        <f>'WUTC_KENT_SF 2018'!B29</f>
        <v>123302</v>
      </c>
      <c r="L24" s="206"/>
      <c r="M24" s="194" t="s">
        <v>123</v>
      </c>
      <c r="N24" s="190"/>
      <c r="O24" s="190"/>
      <c r="P24" s="190"/>
      <c r="Q24" s="201">
        <f>O13</f>
        <v>242188</v>
      </c>
      <c r="R24" s="206"/>
      <c r="S24" s="194" t="s">
        <v>123</v>
      </c>
      <c r="T24" s="190"/>
      <c r="U24" s="190"/>
      <c r="V24" s="190"/>
      <c r="W24" s="201">
        <f>U13</f>
        <v>237592</v>
      </c>
      <c r="X24" s="206"/>
      <c r="Y24" s="194" t="s">
        <v>123</v>
      </c>
      <c r="Z24" s="190"/>
      <c r="AA24" s="190"/>
      <c r="AB24" s="190"/>
      <c r="AC24" s="201">
        <f>AA13</f>
        <v>238662</v>
      </c>
      <c r="AD24" s="206"/>
      <c r="AE24" s="194" t="s">
        <v>123</v>
      </c>
      <c r="AF24" s="190"/>
      <c r="AG24" s="190"/>
      <c r="AH24" s="190"/>
      <c r="AI24" s="201">
        <f>AG13</f>
        <v>274136</v>
      </c>
      <c r="AJ24" s="206"/>
      <c r="AK24" s="194" t="s">
        <v>123</v>
      </c>
      <c r="AL24" s="190"/>
      <c r="AM24" s="190"/>
      <c r="AN24" s="190"/>
      <c r="AO24" s="201">
        <f>AM13</f>
        <v>311855</v>
      </c>
      <c r="AP24" s="206"/>
      <c r="AQ24" s="194" t="s">
        <v>123</v>
      </c>
      <c r="AR24" s="190"/>
      <c r="AS24" s="190"/>
      <c r="AT24" s="190"/>
      <c r="AU24" s="209">
        <f>AS13/7*12</f>
        <v>440312.57142857136</v>
      </c>
      <c r="AV24" s="206"/>
      <c r="AW24" s="194" t="s">
        <v>123</v>
      </c>
      <c r="AX24" s="190"/>
      <c r="AY24" s="190"/>
      <c r="AZ24" s="190"/>
      <c r="BA24" s="201">
        <f>BA19</f>
        <v>306634</v>
      </c>
      <c r="BB24" s="206"/>
    </row>
    <row r="25" spans="1:54" ht="15" x14ac:dyDescent="0.35">
      <c r="A25" s="194" t="s">
        <v>126</v>
      </c>
      <c r="B25" s="190"/>
      <c r="C25" s="190"/>
      <c r="D25" s="190"/>
      <c r="E25" s="201">
        <f>E20</f>
        <v>124219</v>
      </c>
      <c r="F25" s="210">
        <f>(E24/E25)</f>
        <v>0.57489994710962034</v>
      </c>
      <c r="G25" s="194" t="s">
        <v>126</v>
      </c>
      <c r="H25" s="190"/>
      <c r="I25" s="190"/>
      <c r="J25" s="190"/>
      <c r="K25" s="190"/>
      <c r="L25" s="210">
        <f>(K23/K24)</f>
        <v>0.40744081568794471</v>
      </c>
      <c r="M25" s="194" t="s">
        <v>126</v>
      </c>
      <c r="N25" s="190"/>
      <c r="O25" s="190"/>
      <c r="P25" s="190"/>
      <c r="Q25" s="190"/>
      <c r="R25" s="210">
        <f>(Q23/Q24)</f>
        <v>0.92326692151234069</v>
      </c>
      <c r="S25" s="194" t="s">
        <v>126</v>
      </c>
      <c r="T25" s="190"/>
      <c r="U25" s="190"/>
      <c r="V25" s="190"/>
      <c r="W25" s="190"/>
      <c r="X25" s="210">
        <f>(W23/W24)</f>
        <v>0.7414134068084588</v>
      </c>
      <c r="Y25" s="194" t="s">
        <v>126</v>
      </c>
      <c r="Z25" s="190"/>
      <c r="AA25" s="190"/>
      <c r="AB25" s="190"/>
      <c r="AC25" s="190"/>
      <c r="AD25" s="210">
        <f>(AC23/AC24)</f>
        <v>0.83500186041270619</v>
      </c>
      <c r="AE25" s="194" t="s">
        <v>126</v>
      </c>
      <c r="AF25" s="190"/>
      <c r="AG25" s="190"/>
      <c r="AH25" s="190"/>
      <c r="AI25" s="190"/>
      <c r="AJ25" s="210">
        <f>(AI23/AI24)</f>
        <v>0.86818933355468986</v>
      </c>
      <c r="AK25" s="194" t="s">
        <v>126</v>
      </c>
      <c r="AL25" s="190"/>
      <c r="AM25" s="190"/>
      <c r="AN25" s="190"/>
      <c r="AO25" s="190"/>
      <c r="AP25" s="210">
        <f>(AO23/AO24)</f>
        <v>0.84198342117709213</v>
      </c>
      <c r="AQ25" s="194" t="s">
        <v>126</v>
      </c>
      <c r="AR25" s="190"/>
      <c r="AS25" s="190"/>
      <c r="AT25" s="190"/>
      <c r="AU25" s="190"/>
      <c r="AV25" s="211">
        <f>AU23/AU24/0.5*0.72395</f>
        <v>1.4668239603813917</v>
      </c>
      <c r="AW25" s="194" t="s">
        <v>126</v>
      </c>
      <c r="AX25" s="190"/>
      <c r="AY25" s="190"/>
      <c r="AZ25" s="190"/>
      <c r="BA25" s="190"/>
      <c r="BB25" s="211">
        <f>(BA23/BA24)</f>
        <v>0.77590547688775546</v>
      </c>
    </row>
    <row r="26" spans="1:54" x14ac:dyDescent="0.2">
      <c r="A26" s="194" t="s">
        <v>123</v>
      </c>
      <c r="B26" s="190"/>
      <c r="C26" s="190"/>
      <c r="D26" s="190"/>
      <c r="E26" s="190"/>
      <c r="F26" s="206"/>
      <c r="G26" s="194"/>
      <c r="H26" s="190"/>
      <c r="I26" s="190"/>
      <c r="J26" s="190"/>
      <c r="K26" s="190"/>
      <c r="L26" s="206"/>
      <c r="M26" s="194"/>
      <c r="N26" s="190"/>
      <c r="O26" s="190"/>
      <c r="P26" s="190"/>
      <c r="Q26" s="190"/>
      <c r="R26" s="206"/>
      <c r="S26" s="194"/>
      <c r="T26" s="190"/>
      <c r="U26" s="190"/>
      <c r="V26" s="190"/>
      <c r="W26" s="190"/>
      <c r="X26" s="206"/>
      <c r="Y26" s="194"/>
      <c r="Z26" s="190"/>
      <c r="AA26" s="190"/>
      <c r="AB26" s="190"/>
      <c r="AC26" s="190"/>
      <c r="AD26" s="206"/>
      <c r="AE26" s="194"/>
      <c r="AF26" s="190"/>
      <c r="AG26" s="190"/>
      <c r="AH26" s="190"/>
      <c r="AI26" s="190"/>
      <c r="AJ26" s="206"/>
      <c r="AK26" s="194"/>
      <c r="AL26" s="190"/>
      <c r="AM26" s="190"/>
      <c r="AN26" s="190"/>
      <c r="AO26" s="190"/>
      <c r="AP26" s="206"/>
      <c r="AQ26" s="194"/>
      <c r="AR26" s="190"/>
      <c r="AS26" s="190"/>
      <c r="AT26" s="190"/>
      <c r="AU26" s="190"/>
      <c r="AV26" s="206"/>
      <c r="AW26" s="194"/>
      <c r="AX26" s="190"/>
      <c r="AY26" s="190"/>
      <c r="AZ26" s="190"/>
      <c r="BA26" s="190"/>
      <c r="BB26" s="206"/>
    </row>
    <row r="27" spans="1:54" ht="18.75" thickBot="1" x14ac:dyDescent="0.4">
      <c r="A27" s="194"/>
      <c r="B27" s="190"/>
      <c r="C27" s="190"/>
      <c r="D27" s="190"/>
      <c r="E27" s="190"/>
      <c r="F27" s="212">
        <f>+F21+F25</f>
        <v>0.19747567205175126</v>
      </c>
      <c r="G27" s="187" t="s">
        <v>127</v>
      </c>
      <c r="H27" s="188"/>
      <c r="I27" s="190"/>
      <c r="J27" s="190"/>
      <c r="K27" s="190"/>
      <c r="L27" s="212">
        <f>+L21+L25</f>
        <v>0.14044093220581599</v>
      </c>
      <c r="M27" s="187" t="s">
        <v>127</v>
      </c>
      <c r="N27" s="188"/>
      <c r="O27" s="190"/>
      <c r="P27" s="190"/>
      <c r="Q27" s="190"/>
      <c r="R27" s="212">
        <f>+R21+R25</f>
        <v>1.006727479143237</v>
      </c>
      <c r="S27" s="187" t="s">
        <v>127</v>
      </c>
      <c r="T27" s="188"/>
      <c r="U27" s="190"/>
      <c r="V27" s="190"/>
      <c r="W27" s="190"/>
      <c r="X27" s="212">
        <f>+X21+X25</f>
        <v>0.63964011038026247</v>
      </c>
      <c r="Y27" s="187" t="s">
        <v>127</v>
      </c>
      <c r="Z27" s="188"/>
      <c r="AA27" s="190"/>
      <c r="AB27" s="190"/>
      <c r="AC27" s="190"/>
      <c r="AD27" s="212">
        <f>+AD21+AD25</f>
        <v>0.80835647716964765</v>
      </c>
      <c r="AE27" s="187" t="s">
        <v>127</v>
      </c>
      <c r="AF27" s="188"/>
      <c r="AG27" s="190"/>
      <c r="AH27" s="190"/>
      <c r="AI27" s="190"/>
      <c r="AJ27" s="212">
        <f>+AJ21+AJ25</f>
        <v>0.81679292870115372</v>
      </c>
      <c r="AK27" s="187" t="s">
        <v>127</v>
      </c>
      <c r="AL27" s="188"/>
      <c r="AM27" s="190"/>
      <c r="AN27" s="190"/>
      <c r="AO27" s="190"/>
      <c r="AP27" s="212">
        <f>+AP21+AP25</f>
        <v>0.64208257524175572</v>
      </c>
      <c r="AQ27" s="187" t="s">
        <v>127</v>
      </c>
      <c r="AR27" s="188"/>
      <c r="AS27" s="190"/>
      <c r="AT27" s="190"/>
      <c r="AU27" s="190"/>
      <c r="AV27" s="213">
        <f>+AV25+AV21</f>
        <v>1.7994355140702001</v>
      </c>
      <c r="AW27" s="187" t="s">
        <v>127</v>
      </c>
      <c r="AX27" s="188"/>
      <c r="AY27" s="190"/>
      <c r="AZ27" s="190"/>
      <c r="BA27" s="190"/>
      <c r="BB27" s="213">
        <f>+BB25+BB21</f>
        <v>0.9751555078693166</v>
      </c>
    </row>
    <row r="28" spans="1:54" ht="19.5" thickTop="1" thickBot="1" x14ac:dyDescent="0.4">
      <c r="A28" s="187" t="s">
        <v>127</v>
      </c>
      <c r="B28" s="188"/>
      <c r="C28" s="190"/>
      <c r="D28" s="190"/>
      <c r="E28" s="190"/>
      <c r="F28" s="215">
        <v>0</v>
      </c>
      <c r="G28" s="200" t="s">
        <v>128</v>
      </c>
      <c r="H28" s="190"/>
      <c r="I28" s="259">
        <v>0</v>
      </c>
      <c r="J28" s="190"/>
      <c r="K28" s="190"/>
      <c r="L28" s="215">
        <f>'WUTC_KENT_SF (2)'!C65</f>
        <v>0</v>
      </c>
      <c r="M28" s="200" t="s">
        <v>128</v>
      </c>
      <c r="N28" s="190"/>
      <c r="O28" s="259">
        <v>0</v>
      </c>
      <c r="P28" s="190"/>
      <c r="Q28" s="190"/>
      <c r="R28" s="215">
        <f>'WUTC_KENT_SF (2)'!I65</f>
        <v>0.33141512857307803</v>
      </c>
      <c r="S28" s="200" t="s">
        <v>128</v>
      </c>
      <c r="T28" s="190"/>
      <c r="U28" s="259">
        <v>0</v>
      </c>
      <c r="V28" s="190"/>
      <c r="W28" s="190"/>
      <c r="X28" s="215">
        <f>U29</f>
        <v>0</v>
      </c>
      <c r="Y28" s="200" t="s">
        <v>128</v>
      </c>
      <c r="Z28" s="190"/>
      <c r="AA28" s="259">
        <f>'2014-2015'!C7</f>
        <v>3398.9362116458542</v>
      </c>
      <c r="AB28" s="190"/>
      <c r="AC28" s="190"/>
      <c r="AD28" s="215">
        <f>AA29</f>
        <v>1.4241631309742875E-2</v>
      </c>
      <c r="AE28" s="200" t="s">
        <v>128</v>
      </c>
      <c r="AF28" s="190"/>
      <c r="AG28" s="214">
        <f>[5]KC!$C$7+[5]KC!$E$7</f>
        <v>13736.519999999999</v>
      </c>
      <c r="AH28" s="190"/>
      <c r="AI28" s="190"/>
      <c r="AJ28" s="215">
        <f>[1]WUTC_KENT_SF!I65</f>
        <v>5.0036113856937452E-2</v>
      </c>
      <c r="AK28" s="200" t="s">
        <v>128</v>
      </c>
      <c r="AL28" s="190"/>
      <c r="AM28" s="190"/>
      <c r="AN28" s="190"/>
      <c r="AO28" s="190"/>
      <c r="AP28" s="215">
        <f>[2]WUTC_KENT_SF!I65</f>
        <v>3.8219384588099675E-2</v>
      </c>
      <c r="AQ28" s="200" t="s">
        <v>128</v>
      </c>
      <c r="AR28" s="190"/>
      <c r="AS28" s="190"/>
      <c r="AT28" s="190"/>
      <c r="AU28" s="190"/>
      <c r="AV28" s="213">
        <f>[3]WUTC_KENT_SF!$I$68</f>
        <v>0.19061947674298185</v>
      </c>
      <c r="AW28" s="200" t="s">
        <v>128</v>
      </c>
      <c r="AX28" s="190"/>
      <c r="AY28" s="190"/>
      <c r="AZ28" s="190"/>
      <c r="BA28" s="190"/>
      <c r="BB28" s="216">
        <v>0</v>
      </c>
    </row>
    <row r="29" spans="1:54" ht="19.5" thickTop="1" thickBot="1" x14ac:dyDescent="0.4">
      <c r="A29" s="200" t="s">
        <v>128</v>
      </c>
      <c r="B29" s="190"/>
      <c r="C29" s="259">
        <v>0</v>
      </c>
      <c r="D29" s="190"/>
      <c r="E29" s="190"/>
      <c r="F29" s="218"/>
      <c r="G29" s="194"/>
      <c r="H29" s="190"/>
      <c r="I29" s="217">
        <f>I28/K24</f>
        <v>0</v>
      </c>
      <c r="J29" s="190"/>
      <c r="K29" s="190"/>
      <c r="L29" s="218"/>
      <c r="M29" s="194"/>
      <c r="N29" s="190"/>
      <c r="O29" s="217">
        <f>O28/Q24</f>
        <v>0</v>
      </c>
      <c r="P29" s="190"/>
      <c r="Q29" s="190"/>
      <c r="R29" s="218"/>
      <c r="S29" s="194"/>
      <c r="T29" s="190"/>
      <c r="U29" s="217">
        <f>U28/W24</f>
        <v>0</v>
      </c>
      <c r="V29" s="190"/>
      <c r="W29" s="190"/>
      <c r="X29" s="218"/>
      <c r="Y29" s="194"/>
      <c r="Z29" s="190"/>
      <c r="AA29" s="217">
        <f>AA28/AC24</f>
        <v>1.4241631309742875E-2</v>
      </c>
      <c r="AB29" s="190"/>
      <c r="AC29" s="190"/>
      <c r="AD29" s="218"/>
      <c r="AE29" s="194"/>
      <c r="AF29" s="190"/>
      <c r="AG29" s="217">
        <f>AG28/AI24</f>
        <v>5.0108413342282658E-2</v>
      </c>
      <c r="AH29" s="190"/>
      <c r="AI29" s="190"/>
      <c r="AJ29" s="218"/>
      <c r="AK29" s="194"/>
      <c r="AL29" s="190"/>
      <c r="AM29" s="190"/>
      <c r="AN29" s="190"/>
      <c r="AO29" s="190"/>
      <c r="AP29" s="218"/>
      <c r="AQ29" s="194"/>
      <c r="AR29" s="190"/>
      <c r="AS29" s="190"/>
      <c r="AT29" s="190"/>
      <c r="AU29" s="190"/>
      <c r="AV29" s="213"/>
      <c r="AW29" s="194"/>
      <c r="AX29" s="190"/>
      <c r="AY29" s="190"/>
      <c r="AZ29" s="190"/>
      <c r="BA29" s="219"/>
      <c r="BB29" s="220"/>
    </row>
    <row r="30" spans="1:54" ht="19.5" thickTop="1" thickBot="1" x14ac:dyDescent="0.4">
      <c r="A30" s="194"/>
      <c r="B30" s="190"/>
      <c r="C30" s="217">
        <f>C29/E25</f>
        <v>0</v>
      </c>
      <c r="D30" s="190"/>
      <c r="E30" s="190"/>
      <c r="F30" s="212">
        <f>ROUND(SUM(F27:F29),2)</f>
        <v>0.2</v>
      </c>
      <c r="G30" s="200" t="s">
        <v>129</v>
      </c>
      <c r="H30" s="190"/>
      <c r="I30" s="190"/>
      <c r="J30" s="221"/>
      <c r="K30" s="190"/>
      <c r="L30" s="212">
        <f>ROUND(SUM(L27:L29),2)</f>
        <v>0.14000000000000001</v>
      </c>
      <c r="M30" s="200" t="s">
        <v>129</v>
      </c>
      <c r="N30" s="190"/>
      <c r="O30" s="190"/>
      <c r="P30" s="221"/>
      <c r="Q30" s="190"/>
      <c r="R30" s="212">
        <f>ROUND(SUM(R27:R29),2)</f>
        <v>1.34</v>
      </c>
      <c r="S30" s="200" t="s">
        <v>129</v>
      </c>
      <c r="T30" s="190"/>
      <c r="U30" s="190"/>
      <c r="V30" s="221"/>
      <c r="W30" s="190"/>
      <c r="X30" s="212">
        <f>ROUND(SUM(X27:X29),2)</f>
        <v>0.64</v>
      </c>
      <c r="Y30" s="200" t="s">
        <v>129</v>
      </c>
      <c r="Z30" s="190"/>
      <c r="AA30" s="190"/>
      <c r="AB30" s="221"/>
      <c r="AC30" s="190"/>
      <c r="AD30" s="212">
        <f>ROUND(SUM(AD27:AD29),2)</f>
        <v>0.82</v>
      </c>
      <c r="AE30" s="200" t="s">
        <v>129</v>
      </c>
      <c r="AF30" s="190"/>
      <c r="AG30" s="190"/>
      <c r="AH30" s="221"/>
      <c r="AI30" s="190"/>
      <c r="AJ30" s="212">
        <f>ROUND(SUM(AJ27:AJ29),2)</f>
        <v>0.87</v>
      </c>
      <c r="AK30" s="200" t="s">
        <v>129</v>
      </c>
      <c r="AL30" s="190"/>
      <c r="AM30" s="190"/>
      <c r="AN30" s="221"/>
      <c r="AO30" s="190"/>
      <c r="AP30" s="212">
        <f>ROUND(SUM(AP27:AP29),2)</f>
        <v>0.68</v>
      </c>
      <c r="AQ30" s="200" t="s">
        <v>129</v>
      </c>
      <c r="AR30" s="190"/>
      <c r="AS30" s="190"/>
      <c r="AT30" s="190"/>
      <c r="AU30" s="190"/>
      <c r="AV30" s="213">
        <f>SUM(AV27:AV29)</f>
        <v>1.9900549908131819</v>
      </c>
      <c r="AW30" s="200" t="s">
        <v>129</v>
      </c>
      <c r="AX30" s="190"/>
      <c r="AY30" s="190"/>
      <c r="AZ30" s="190"/>
      <c r="BA30" s="190"/>
      <c r="BB30" s="222">
        <f>SUM(BB27:BB29)</f>
        <v>0.9751555078693166</v>
      </c>
    </row>
    <row r="31" spans="1:54" ht="13.5" thickTop="1" x14ac:dyDescent="0.2">
      <c r="A31" s="200" t="s">
        <v>129</v>
      </c>
      <c r="B31" s="190"/>
      <c r="C31" s="190"/>
      <c r="D31" s="221"/>
      <c r="E31" s="190"/>
      <c r="F31" s="191"/>
      <c r="G31" s="194"/>
      <c r="H31" s="190"/>
      <c r="I31" s="190"/>
      <c r="J31" s="221"/>
      <c r="K31" s="190"/>
      <c r="L31" s="191"/>
      <c r="M31" s="194"/>
      <c r="N31" s="190"/>
      <c r="O31" s="190"/>
      <c r="P31" s="221"/>
      <c r="Q31" s="190"/>
      <c r="R31" s="191"/>
      <c r="S31" s="194"/>
      <c r="T31" s="190"/>
      <c r="U31" s="190"/>
      <c r="V31" s="221"/>
      <c r="W31" s="190"/>
      <c r="X31" s="191"/>
      <c r="Y31" s="194"/>
      <c r="Z31" s="190"/>
      <c r="AA31" s="190"/>
      <c r="AB31" s="221"/>
      <c r="AC31" s="190"/>
      <c r="AD31" s="191"/>
      <c r="AE31" s="194"/>
      <c r="AF31" s="190"/>
      <c r="AG31" s="190"/>
      <c r="AH31" s="221"/>
      <c r="AI31" s="190"/>
      <c r="AJ31" s="191"/>
      <c r="AK31" s="194"/>
      <c r="AL31" s="190"/>
      <c r="AM31" s="190"/>
      <c r="AN31" s="221"/>
      <c r="AO31" s="190"/>
      <c r="AP31" s="191"/>
      <c r="AQ31" s="194"/>
      <c r="AR31" s="190"/>
      <c r="AS31" s="190"/>
      <c r="AT31" s="190"/>
      <c r="AU31" s="223"/>
      <c r="AV31" s="191"/>
      <c r="AW31" s="194"/>
      <c r="AX31" s="190"/>
      <c r="AY31" s="190"/>
      <c r="AZ31" s="190"/>
      <c r="BA31" s="219"/>
      <c r="BB31" s="224"/>
    </row>
    <row r="32" spans="1:54" x14ac:dyDescent="0.2">
      <c r="A32" s="194"/>
      <c r="B32" s="190"/>
      <c r="C32" s="190"/>
      <c r="D32" s="221"/>
      <c r="E32" s="190"/>
      <c r="F32" s="191"/>
      <c r="G32" s="194"/>
      <c r="H32" s="190"/>
      <c r="I32" s="190"/>
      <c r="J32" s="190"/>
      <c r="K32" s="190"/>
      <c r="L32" s="191"/>
      <c r="M32" s="194"/>
      <c r="N32" s="190"/>
      <c r="O32" s="190"/>
      <c r="P32" s="190"/>
      <c r="Q32" s="190"/>
      <c r="R32" s="191"/>
      <c r="S32" s="194"/>
      <c r="T32" s="190"/>
      <c r="U32" s="190"/>
      <c r="V32" s="190"/>
      <c r="W32" s="190"/>
      <c r="X32" s="191"/>
      <c r="Y32" s="194"/>
      <c r="Z32" s="190"/>
      <c r="AA32" s="190"/>
      <c r="AB32" s="190"/>
      <c r="AC32" s="190"/>
      <c r="AD32" s="191"/>
      <c r="AE32" s="194"/>
      <c r="AF32" s="190"/>
      <c r="AG32" s="190"/>
      <c r="AH32" s="190"/>
      <c r="AI32" s="190"/>
      <c r="AJ32" s="191"/>
      <c r="AK32" s="194"/>
      <c r="AL32" s="190"/>
      <c r="AM32" s="190"/>
      <c r="AN32" s="190"/>
      <c r="AO32" s="190"/>
      <c r="AP32" s="191"/>
      <c r="AQ32" s="194"/>
      <c r="AR32" s="190"/>
      <c r="AS32" s="190"/>
      <c r="AT32" s="190"/>
      <c r="AU32" s="190"/>
      <c r="AV32" s="191"/>
      <c r="AW32" s="194"/>
      <c r="AX32" s="190"/>
      <c r="AY32" s="190"/>
      <c r="AZ32" s="190"/>
      <c r="BA32" s="190"/>
      <c r="BB32" s="191"/>
    </row>
    <row r="33" spans="1:54" ht="19.5" x14ac:dyDescent="0.4">
      <c r="A33" s="194"/>
      <c r="B33" s="190"/>
      <c r="C33" s="190"/>
      <c r="D33" s="190"/>
      <c r="E33" s="190"/>
      <c r="F33" s="382"/>
      <c r="G33" s="388" t="s">
        <v>130</v>
      </c>
      <c r="H33" s="389"/>
      <c r="I33" s="389"/>
      <c r="J33" s="389"/>
      <c r="K33" s="389"/>
      <c r="L33" s="390"/>
      <c r="M33" s="388" t="s">
        <v>130</v>
      </c>
      <c r="N33" s="389"/>
      <c r="O33" s="389"/>
      <c r="P33" s="389"/>
      <c r="Q33" s="389"/>
      <c r="R33" s="390"/>
      <c r="S33" s="388" t="s">
        <v>130</v>
      </c>
      <c r="T33" s="389"/>
      <c r="U33" s="389"/>
      <c r="V33" s="389"/>
      <c r="W33" s="389"/>
      <c r="X33" s="390"/>
      <c r="Y33" s="388" t="s">
        <v>130</v>
      </c>
      <c r="Z33" s="389"/>
      <c r="AA33" s="389"/>
      <c r="AB33" s="389"/>
      <c r="AC33" s="389"/>
      <c r="AD33" s="390"/>
      <c r="AE33" s="388" t="s">
        <v>130</v>
      </c>
      <c r="AF33" s="389"/>
      <c r="AG33" s="389"/>
      <c r="AH33" s="389"/>
      <c r="AI33" s="389"/>
      <c r="AJ33" s="390"/>
      <c r="AK33" s="388" t="s">
        <v>130</v>
      </c>
      <c r="AL33" s="389"/>
      <c r="AM33" s="389"/>
      <c r="AN33" s="389"/>
      <c r="AO33" s="389"/>
      <c r="AP33" s="390"/>
      <c r="AQ33" s="388" t="s">
        <v>130</v>
      </c>
      <c r="AR33" s="389"/>
      <c r="AS33" s="389"/>
      <c r="AT33" s="389"/>
      <c r="AU33" s="389"/>
      <c r="AV33" s="390"/>
      <c r="AW33" s="388" t="s">
        <v>130</v>
      </c>
      <c r="AX33" s="389"/>
      <c r="AY33" s="389"/>
      <c r="AZ33" s="389"/>
      <c r="BA33" s="389"/>
      <c r="BB33" s="390"/>
    </row>
    <row r="34" spans="1:54" ht="19.5" x14ac:dyDescent="0.4">
      <c r="A34" s="380" t="s">
        <v>130</v>
      </c>
      <c r="B34" s="381"/>
      <c r="C34" s="381"/>
      <c r="D34" s="381"/>
      <c r="E34" s="381"/>
      <c r="F34" s="191"/>
      <c r="G34" s="194"/>
      <c r="H34" s="190"/>
      <c r="I34" s="190"/>
      <c r="J34" s="190"/>
      <c r="K34" s="190"/>
      <c r="L34" s="191"/>
      <c r="M34" s="194"/>
      <c r="N34" s="190"/>
      <c r="O34" s="190"/>
      <c r="P34" s="190"/>
      <c r="Q34" s="190"/>
      <c r="R34" s="191"/>
      <c r="S34" s="194"/>
      <c r="T34" s="190"/>
      <c r="U34" s="190"/>
      <c r="V34" s="190"/>
      <c r="W34" s="190"/>
      <c r="X34" s="191"/>
      <c r="Y34" s="194"/>
      <c r="Z34" s="190"/>
      <c r="AA34" s="190"/>
      <c r="AB34" s="190"/>
      <c r="AC34" s="190"/>
      <c r="AD34" s="191"/>
      <c r="AE34" s="194"/>
      <c r="AF34" s="190"/>
      <c r="AG34" s="190"/>
      <c r="AH34" s="190"/>
      <c r="AI34" s="190"/>
      <c r="AJ34" s="191"/>
      <c r="AK34" s="194"/>
      <c r="AL34" s="190"/>
      <c r="AM34" s="190"/>
      <c r="AN34" s="190"/>
      <c r="AO34" s="190"/>
      <c r="AP34" s="191"/>
      <c r="AQ34" s="194"/>
      <c r="AR34" s="190"/>
      <c r="AS34" s="190"/>
      <c r="AT34" s="190"/>
      <c r="AU34" s="190"/>
      <c r="AV34" s="191"/>
      <c r="AW34" s="194"/>
      <c r="AX34" s="190"/>
      <c r="AY34" s="190"/>
      <c r="AZ34" s="190"/>
      <c r="BA34" s="190"/>
      <c r="BB34" s="191"/>
    </row>
    <row r="35" spans="1:54" x14ac:dyDescent="0.2">
      <c r="A35" s="194"/>
      <c r="B35" s="190"/>
      <c r="C35" s="190"/>
      <c r="D35" s="190"/>
      <c r="E35" s="190"/>
      <c r="F35" s="191"/>
      <c r="G35" s="194"/>
      <c r="H35" s="190"/>
      <c r="I35" s="195"/>
      <c r="J35" s="195" t="s">
        <v>3</v>
      </c>
      <c r="K35" s="195" t="s">
        <v>30</v>
      </c>
      <c r="L35" s="191"/>
      <c r="M35" s="194"/>
      <c r="N35" s="190"/>
      <c r="O35" s="195"/>
      <c r="P35" s="195" t="s">
        <v>3</v>
      </c>
      <c r="Q35" s="195" t="s">
        <v>30</v>
      </c>
      <c r="R35" s="191"/>
      <c r="S35" s="194"/>
      <c r="T35" s="190"/>
      <c r="U35" s="195"/>
      <c r="V35" s="195" t="s">
        <v>3</v>
      </c>
      <c r="W35" s="195" t="s">
        <v>30</v>
      </c>
      <c r="X35" s="191"/>
      <c r="Y35" s="194"/>
      <c r="Z35" s="190"/>
      <c r="AA35" s="195"/>
      <c r="AB35" s="195" t="s">
        <v>3</v>
      </c>
      <c r="AC35" s="195" t="s">
        <v>30</v>
      </c>
      <c r="AD35" s="191"/>
      <c r="AE35" s="194"/>
      <c r="AF35" s="190"/>
      <c r="AG35" s="195"/>
      <c r="AH35" s="195" t="s">
        <v>3</v>
      </c>
      <c r="AI35" s="195" t="s">
        <v>30</v>
      </c>
      <c r="AJ35" s="191"/>
      <c r="AK35" s="194"/>
      <c r="AL35" s="190"/>
      <c r="AM35" s="195"/>
      <c r="AN35" s="195" t="s">
        <v>3</v>
      </c>
      <c r="AO35" s="195" t="s">
        <v>30</v>
      </c>
      <c r="AP35" s="191"/>
      <c r="AQ35" s="194"/>
      <c r="AR35" s="190"/>
      <c r="AS35" s="195"/>
      <c r="AT35" s="195" t="s">
        <v>3</v>
      </c>
      <c r="AU35" s="195" t="s">
        <v>30</v>
      </c>
      <c r="AV35" s="191"/>
      <c r="AW35" s="194"/>
      <c r="AX35" s="190"/>
      <c r="AY35" s="195"/>
      <c r="AZ35" s="195" t="s">
        <v>3</v>
      </c>
      <c r="BA35" s="195" t="s">
        <v>30</v>
      </c>
      <c r="BB35" s="191"/>
    </row>
    <row r="36" spans="1:54" x14ac:dyDescent="0.2">
      <c r="A36" s="194"/>
      <c r="B36" s="190"/>
      <c r="C36" s="195"/>
      <c r="D36" s="195" t="s">
        <v>3</v>
      </c>
      <c r="E36" s="195" t="s">
        <v>30</v>
      </c>
      <c r="F36" s="191"/>
      <c r="G36" s="194"/>
      <c r="H36" s="190"/>
      <c r="I36" s="225" t="s">
        <v>82</v>
      </c>
      <c r="J36" s="225" t="s">
        <v>108</v>
      </c>
      <c r="K36" s="225" t="s">
        <v>109</v>
      </c>
      <c r="L36" s="191"/>
      <c r="M36" s="194"/>
      <c r="N36" s="190"/>
      <c r="O36" s="225" t="s">
        <v>82</v>
      </c>
      <c r="P36" s="225" t="s">
        <v>108</v>
      </c>
      <c r="Q36" s="225" t="s">
        <v>109</v>
      </c>
      <c r="R36" s="191"/>
      <c r="S36" s="194"/>
      <c r="T36" s="190"/>
      <c r="U36" s="225" t="s">
        <v>82</v>
      </c>
      <c r="V36" s="225" t="s">
        <v>108</v>
      </c>
      <c r="W36" s="225" t="s">
        <v>109</v>
      </c>
      <c r="X36" s="191"/>
      <c r="Y36" s="194"/>
      <c r="Z36" s="190"/>
      <c r="AA36" s="225" t="s">
        <v>82</v>
      </c>
      <c r="AB36" s="225" t="s">
        <v>108</v>
      </c>
      <c r="AC36" s="225" t="s">
        <v>109</v>
      </c>
      <c r="AD36" s="191"/>
      <c r="AE36" s="194"/>
      <c r="AF36" s="190"/>
      <c r="AG36" s="225" t="s">
        <v>82</v>
      </c>
      <c r="AH36" s="225" t="s">
        <v>108</v>
      </c>
      <c r="AI36" s="225" t="s">
        <v>109</v>
      </c>
      <c r="AJ36" s="191"/>
      <c r="AK36" s="194"/>
      <c r="AL36" s="190"/>
      <c r="AM36" s="225" t="s">
        <v>82</v>
      </c>
      <c r="AN36" s="225" t="s">
        <v>108</v>
      </c>
      <c r="AO36" s="225" t="s">
        <v>109</v>
      </c>
      <c r="AP36" s="191"/>
      <c r="AQ36" s="194"/>
      <c r="AR36" s="190"/>
      <c r="AS36" s="225" t="s">
        <v>82</v>
      </c>
      <c r="AT36" s="225" t="s">
        <v>108</v>
      </c>
      <c r="AU36" s="225" t="s">
        <v>109</v>
      </c>
      <c r="AV36" s="191"/>
      <c r="AW36" s="194"/>
      <c r="AX36" s="190"/>
      <c r="AY36" s="225" t="s">
        <v>82</v>
      </c>
      <c r="AZ36" s="225" t="s">
        <v>108</v>
      </c>
      <c r="BA36" s="225" t="s">
        <v>109</v>
      </c>
      <c r="BB36" s="191"/>
    </row>
    <row r="37" spans="1:54" ht="16.5" x14ac:dyDescent="0.35">
      <c r="A37" s="194"/>
      <c r="B37" s="190"/>
      <c r="C37" s="225" t="s">
        <v>82</v>
      </c>
      <c r="D37" s="225" t="s">
        <v>108</v>
      </c>
      <c r="E37" s="225" t="s">
        <v>109</v>
      </c>
      <c r="F37" s="191"/>
      <c r="G37" s="197" t="str">
        <f>G10</f>
        <v>Projected Revenue May 2017-April 2018</v>
      </c>
      <c r="H37" s="198"/>
      <c r="I37" s="199"/>
      <c r="J37" s="199"/>
      <c r="K37" s="199"/>
      <c r="L37" s="191"/>
      <c r="M37" s="197" t="str">
        <f>M10</f>
        <v>Projected Revenue May 2016-April 2017</v>
      </c>
      <c r="N37" s="198"/>
      <c r="O37" s="199"/>
      <c r="P37" s="199"/>
      <c r="Q37" s="199"/>
      <c r="R37" s="191"/>
      <c r="S37" s="197" t="str">
        <f>S10</f>
        <v>Projected Revenue May 2015-April 2016</v>
      </c>
      <c r="T37" s="198"/>
      <c r="U37" s="199"/>
      <c r="V37" s="199"/>
      <c r="W37" s="199"/>
      <c r="X37" s="191"/>
      <c r="Y37" s="197" t="str">
        <f>Y10</f>
        <v>Projected Revenue May 2014-April 2015</v>
      </c>
      <c r="Z37" s="198"/>
      <c r="AA37" s="199"/>
      <c r="AB37" s="199"/>
      <c r="AC37" s="199"/>
      <c r="AD37" s="191"/>
      <c r="AE37" s="197" t="str">
        <f>AE10</f>
        <v>Projected Revenue May 2013-April 2014</v>
      </c>
      <c r="AF37" s="198"/>
      <c r="AG37" s="199"/>
      <c r="AH37" s="199"/>
      <c r="AI37" s="199"/>
      <c r="AJ37" s="191"/>
      <c r="AK37" s="197" t="str">
        <f>AK10</f>
        <v>Projected Revenue May 2012-April 2013</v>
      </c>
      <c r="AL37" s="198"/>
      <c r="AM37" s="199"/>
      <c r="AN37" s="199"/>
      <c r="AO37" s="199"/>
      <c r="AP37" s="191"/>
      <c r="AQ37" s="197" t="str">
        <f>AQ10</f>
        <v>Projected Revenue October 2011-April 2012</v>
      </c>
      <c r="AR37" s="198"/>
      <c r="AS37" s="199"/>
      <c r="AT37" s="199"/>
      <c r="AU37" s="199"/>
      <c r="AV37" s="191"/>
      <c r="AW37" s="197" t="str">
        <f>AW10</f>
        <v>Projected Revenue October 2010-September 2011</v>
      </c>
      <c r="AX37" s="198"/>
      <c r="AY37" s="199"/>
      <c r="AZ37" s="199"/>
      <c r="BA37" s="199"/>
      <c r="BB37" s="191"/>
    </row>
    <row r="38" spans="1:54" ht="16.5" x14ac:dyDescent="0.35">
      <c r="A38" s="197" t="str">
        <f>A10</f>
        <v>Projected Revenue May 2017-April 2018</v>
      </c>
      <c r="B38" s="198"/>
      <c r="C38" s="199"/>
      <c r="D38" s="199"/>
      <c r="E38" s="199"/>
      <c r="F38" s="191"/>
      <c r="G38" s="194" t="str">
        <f>G11</f>
        <v>May-Jul projected value without adjustment factor</v>
      </c>
      <c r="H38" s="204"/>
      <c r="I38" s="201">
        <f>'WUTC_KENT_MF 2018'!B11</f>
        <v>1235.82</v>
      </c>
      <c r="J38" s="202">
        <f>P39</f>
        <v>0.3619983176875185</v>
      </c>
      <c r="K38" s="201">
        <f>J38*I38</f>
        <v>447.3647609645891</v>
      </c>
      <c r="L38" s="191"/>
      <c r="M38" s="194" t="str">
        <f>M11</f>
        <v>May-Jul projected value without adjustment factor</v>
      </c>
      <c r="N38" s="204"/>
      <c r="O38" s="201">
        <f>'WUTC_KENT_MF (2)'!B11</f>
        <v>858.98</v>
      </c>
      <c r="P38" s="202">
        <f>V39</f>
        <v>0.43970591740344483</v>
      </c>
      <c r="Q38" s="201">
        <f>P38*O38</f>
        <v>377.69858893121108</v>
      </c>
      <c r="R38" s="191"/>
      <c r="S38" s="194" t="str">
        <f>S11</f>
        <v>May-Jul projected value without adjustment factor</v>
      </c>
      <c r="T38" s="204"/>
      <c r="U38" s="201">
        <f>SUM('2016 Staff Summary'!D65:D67)</f>
        <v>1444.09</v>
      </c>
      <c r="V38" s="202">
        <f>AB39</f>
        <v>0.44916053337784173</v>
      </c>
      <c r="W38" s="201">
        <f>V38*U38</f>
        <v>648.62823464560745</v>
      </c>
      <c r="X38" s="191"/>
      <c r="Y38" s="194" t="str">
        <f>Y11</f>
        <v>May-Jul projected value without adjustment factor</v>
      </c>
      <c r="Z38" s="204"/>
      <c r="AA38" s="201">
        <f>SUM(WUTC_KENT_MF!B8:B10)</f>
        <v>1774</v>
      </c>
      <c r="AB38" s="202">
        <f>AH39</f>
        <v>0.26820313960198516</v>
      </c>
      <c r="AC38" s="201">
        <f>AB38*AA38</f>
        <v>475.7923696539217</v>
      </c>
      <c r="AD38" s="191"/>
      <c r="AE38" s="194" t="str">
        <f>AE11</f>
        <v>May-Jul projected value without adjustment factor</v>
      </c>
      <c r="AF38" s="204"/>
      <c r="AG38" s="201">
        <f>SUM([6]WUTC_KENT_MF!$B$8:$B$10)</f>
        <v>2512.8000000000002</v>
      </c>
      <c r="AH38" s="202">
        <f>AN39</f>
        <v>0.55684027648786971</v>
      </c>
      <c r="AI38" s="201">
        <f>AH38*AG38</f>
        <v>1399.228246758719</v>
      </c>
      <c r="AJ38" s="191"/>
      <c r="AK38" s="194" t="str">
        <f>AK11</f>
        <v>May-Jul projected value without adjustment factor</v>
      </c>
      <c r="AL38" s="204"/>
      <c r="AM38" s="201">
        <f>SUM([7]WUTC_KENT_MF!$B$8:$B$10)</f>
        <v>2613.0200000000004</v>
      </c>
      <c r="AN38" s="202">
        <f>AT39</f>
        <v>0.20307655345505907</v>
      </c>
      <c r="AO38" s="201">
        <f>AN38*AM38</f>
        <v>530.64309570913849</v>
      </c>
      <c r="AP38" s="191"/>
      <c r="AQ38" s="194" t="str">
        <f>AQ11</f>
        <v>Jul-Dec projected value without adjustment factor</v>
      </c>
      <c r="AR38" s="204"/>
      <c r="AS38" s="201">
        <f>[8]WUTC_KENT_MF!$F$33</f>
        <v>2762.6210000000001</v>
      </c>
      <c r="AT38" s="202">
        <f>AZ39</f>
        <v>0.107</v>
      </c>
      <c r="AU38" s="201">
        <f>AS38*AT38</f>
        <v>295.60044700000003</v>
      </c>
      <c r="AV38" s="191"/>
      <c r="AW38" s="194" t="str">
        <f>AW11</f>
        <v>May-Dec projected value without adjustment factor</v>
      </c>
      <c r="AX38" s="204"/>
      <c r="AY38" s="201">
        <f>[9]WUTC_KENT_MF!$F$34</f>
        <v>6704.4</v>
      </c>
      <c r="AZ38" s="202">
        <f>[9]WUTC_KENT_MF!$F$33</f>
        <v>0.121</v>
      </c>
      <c r="BA38" s="201">
        <f>AY38*AZ38</f>
        <v>811.23239999999998</v>
      </c>
      <c r="BB38" s="191"/>
    </row>
    <row r="39" spans="1:54" ht="15" x14ac:dyDescent="0.35">
      <c r="A39" s="194" t="str">
        <f>A11</f>
        <v>May-Jul projected value without adjustment factor</v>
      </c>
      <c r="B39" s="204"/>
      <c r="C39" s="201">
        <f>'WUTC_KENT_MF 181017'!B11</f>
        <v>1042.92</v>
      </c>
      <c r="D39" s="202">
        <f>J39</f>
        <v>0.29334079257682893</v>
      </c>
      <c r="E39" s="201">
        <f>D39*C39</f>
        <v>305.93097939422643</v>
      </c>
      <c r="F39" s="191"/>
      <c r="G39" s="203" t="str">
        <f>G12</f>
        <v>Aug-April projected value without adjustment factor</v>
      </c>
      <c r="H39" s="204"/>
      <c r="I39" s="205">
        <f>'WUTC_KENT_MF 2018'!B23</f>
        <v>3760.34</v>
      </c>
      <c r="J39" s="202">
        <f>R52</f>
        <v>0.29334079257682893</v>
      </c>
      <c r="K39" s="205">
        <f>J39*I39</f>
        <v>1103.061115958353</v>
      </c>
      <c r="L39" s="191"/>
      <c r="M39" s="203" t="str">
        <f>M12</f>
        <v>Aug-April projected value without adjustment factor</v>
      </c>
      <c r="N39" s="204"/>
      <c r="O39" s="205">
        <f>'WUTC_KENT_MF (2)'!B23</f>
        <v>3710.9</v>
      </c>
      <c r="P39" s="202">
        <f>X52</f>
        <v>0.3619983176875185</v>
      </c>
      <c r="Q39" s="205">
        <f>P39*O39</f>
        <v>1343.3395571066123</v>
      </c>
      <c r="R39" s="191"/>
      <c r="S39" s="203" t="str">
        <f>S12</f>
        <v>Aug-April projected value without adjustment factor</v>
      </c>
      <c r="T39" s="204"/>
      <c r="U39" s="205">
        <f>SUM('2016 Staff Summary'!D68:D76)</f>
        <v>4035.6599999999989</v>
      </c>
      <c r="V39" s="202">
        <f>AD52</f>
        <v>0.43970591740344483</v>
      </c>
      <c r="W39" s="205">
        <f>V39*U39</f>
        <v>1774.5035826283856</v>
      </c>
      <c r="X39" s="191"/>
      <c r="Y39" s="203" t="str">
        <f>Y12</f>
        <v>Aug-April projected value without adjustment factor</v>
      </c>
      <c r="Z39" s="204"/>
      <c r="AA39" s="205">
        <f>SUM(WUTC_KENT_MF!B13:B21)</f>
        <v>4352.42</v>
      </c>
      <c r="AB39" s="202">
        <f>AJ52</f>
        <v>0.44916053337784173</v>
      </c>
      <c r="AC39" s="205">
        <f>AB39*AA39</f>
        <v>1954.935288684386</v>
      </c>
      <c r="AD39" s="191"/>
      <c r="AE39" s="203" t="str">
        <f>AE12</f>
        <v>Aug-April projected value without adjustment factor</v>
      </c>
      <c r="AF39" s="204"/>
      <c r="AG39" s="205">
        <f>SUM([6]WUTC_KENT_MF!$B$13:$B$21)</f>
        <v>4542.03</v>
      </c>
      <c r="AH39" s="202">
        <f>AP52</f>
        <v>0.26820313960198516</v>
      </c>
      <c r="AI39" s="205">
        <f>AH39*AG39</f>
        <v>1218.1867061664045</v>
      </c>
      <c r="AJ39" s="191"/>
      <c r="AK39" s="203" t="str">
        <f>AK12</f>
        <v>Aug-April projected value without adjustment factor</v>
      </c>
      <c r="AL39" s="204"/>
      <c r="AM39" s="205">
        <f>SUM([7]WUTC_KENT_MF!$B$13:$B$21)</f>
        <v>7983.796800000001</v>
      </c>
      <c r="AN39" s="202">
        <f>AV52</f>
        <v>0.55684027648786971</v>
      </c>
      <c r="AO39" s="205">
        <f>AN39*AM39</f>
        <v>4445.6996175349695</v>
      </c>
      <c r="AP39" s="191"/>
      <c r="AQ39" s="203" t="str">
        <f>AQ12</f>
        <v>Jan-Jun projected value without adjustment factor</v>
      </c>
      <c r="AR39" s="204"/>
      <c r="AS39" s="205">
        <f>[8]WUTC_KENT_MF!$F$37</f>
        <v>6618.1333000000004</v>
      </c>
      <c r="AT39" s="202">
        <f>BB52</f>
        <v>0.20307655345505907</v>
      </c>
      <c r="AU39" s="205">
        <f>AS39*AT39</f>
        <v>1343.9877008701565</v>
      </c>
      <c r="AV39" s="191"/>
      <c r="AW39" s="203" t="str">
        <f>AW12</f>
        <v>Jan-Apr projected value without adjustment factor</v>
      </c>
      <c r="AX39" s="204"/>
      <c r="AY39" s="205">
        <f>[9]WUTC_KENT_MF!$F$38</f>
        <v>18838.016666666663</v>
      </c>
      <c r="AZ39" s="202">
        <f>[9]WUTC_KENT_MF!$F$37</f>
        <v>0.107</v>
      </c>
      <c r="BA39" s="205">
        <f>AY39*AZ39</f>
        <v>2015.6677833333329</v>
      </c>
      <c r="BB39" s="191"/>
    </row>
    <row r="40" spans="1:54" ht="15" x14ac:dyDescent="0.35">
      <c r="A40" s="203" t="str">
        <f>A12</f>
        <v>Aug-April projected value without adjustment factor</v>
      </c>
      <c r="B40" s="204"/>
      <c r="C40" s="205">
        <f>'WUTC_KENT_MF 181017'!B23</f>
        <v>1169.74</v>
      </c>
      <c r="D40" s="384">
        <f>L52</f>
        <v>0.12698988483607851</v>
      </c>
      <c r="E40" s="205">
        <f>D40*C40</f>
        <v>148.54514788815447</v>
      </c>
      <c r="F40" s="191"/>
      <c r="G40" s="194" t="s">
        <v>30</v>
      </c>
      <c r="H40" s="190"/>
      <c r="I40" s="201">
        <f>SUM(I38:I39)</f>
        <v>4996.16</v>
      </c>
      <c r="J40" s="190"/>
      <c r="K40" s="201">
        <f>SUM(K38:K39)</f>
        <v>1550.4258769229421</v>
      </c>
      <c r="L40" s="191"/>
      <c r="M40" s="194" t="s">
        <v>30</v>
      </c>
      <c r="N40" s="190"/>
      <c r="O40" s="201">
        <f>SUM(O38:O39)</f>
        <v>4569.88</v>
      </c>
      <c r="P40" s="190"/>
      <c r="Q40" s="201">
        <f>SUM(Q38:Q39)</f>
        <v>1721.0381460378235</v>
      </c>
      <c r="R40" s="191"/>
      <c r="S40" s="194" t="s">
        <v>30</v>
      </c>
      <c r="T40" s="190"/>
      <c r="U40" s="201">
        <f>SUM(U38:U39)</f>
        <v>5479.7499999999991</v>
      </c>
      <c r="V40" s="190"/>
      <c r="W40" s="201">
        <f>SUM(W38:W39)</f>
        <v>2423.131817273993</v>
      </c>
      <c r="X40" s="191"/>
      <c r="Y40" s="194" t="s">
        <v>30</v>
      </c>
      <c r="Z40" s="190"/>
      <c r="AA40" s="201">
        <f>SUM(AA38:AA39)</f>
        <v>6126.42</v>
      </c>
      <c r="AB40" s="190"/>
      <c r="AC40" s="201">
        <f>SUM(AC38:AC39)</f>
        <v>2430.7276583383077</v>
      </c>
      <c r="AD40" s="191"/>
      <c r="AE40" s="194" t="s">
        <v>30</v>
      </c>
      <c r="AF40" s="190"/>
      <c r="AG40" s="201">
        <f>SUM(AG38:AG39)</f>
        <v>7054.83</v>
      </c>
      <c r="AH40" s="190"/>
      <c r="AI40" s="201">
        <f>SUM(AI38:AI39)</f>
        <v>2617.4149529251235</v>
      </c>
      <c r="AJ40" s="191"/>
      <c r="AK40" s="194" t="s">
        <v>30</v>
      </c>
      <c r="AL40" s="190"/>
      <c r="AM40" s="201">
        <f>SUM(AM38:AM39)</f>
        <v>10596.816800000001</v>
      </c>
      <c r="AN40" s="190"/>
      <c r="AO40" s="201">
        <f>SUM(AO38:AO39)</f>
        <v>4976.3427132441084</v>
      </c>
      <c r="AP40" s="191"/>
      <c r="AQ40" s="194" t="s">
        <v>30</v>
      </c>
      <c r="AR40" s="190"/>
      <c r="AS40" s="201">
        <f>SUM(AS38:AS39)</f>
        <v>9380.7543000000005</v>
      </c>
      <c r="AT40" s="190"/>
      <c r="AU40" s="201">
        <f>+AU39+AU38</f>
        <v>1639.5881478701565</v>
      </c>
      <c r="AV40" s="191"/>
      <c r="AW40" s="194" t="s">
        <v>30</v>
      </c>
      <c r="AX40" s="190"/>
      <c r="AY40" s="201">
        <f>SUM(AY38:AY39)</f>
        <v>25542.416666666664</v>
      </c>
      <c r="AZ40" s="190"/>
      <c r="BA40" s="201">
        <f>+BA39+BA38</f>
        <v>2826.9001833333327</v>
      </c>
      <c r="BB40" s="191"/>
    </row>
    <row r="41" spans="1:54" x14ac:dyDescent="0.2">
      <c r="A41" s="194" t="s">
        <v>30</v>
      </c>
      <c r="B41" s="190"/>
      <c r="C41" s="201">
        <f>SUM(C39:C40)</f>
        <v>2212.66</v>
      </c>
      <c r="D41" s="190"/>
      <c r="E41" s="201">
        <f>SUM(E39:E40)</f>
        <v>454.4761272823809</v>
      </c>
      <c r="F41" s="191"/>
      <c r="G41" s="194"/>
      <c r="H41" s="190"/>
      <c r="I41" s="190"/>
      <c r="J41" s="190"/>
      <c r="K41" s="190"/>
      <c r="L41" s="191"/>
      <c r="M41" s="194"/>
      <c r="N41" s="190"/>
      <c r="O41" s="190"/>
      <c r="P41" s="190"/>
      <c r="Q41" s="190"/>
      <c r="R41" s="191"/>
      <c r="S41" s="194"/>
      <c r="T41" s="190"/>
      <c r="U41" s="190"/>
      <c r="V41" s="190"/>
      <c r="W41" s="190"/>
      <c r="X41" s="191"/>
      <c r="Y41" s="194"/>
      <c r="Z41" s="190"/>
      <c r="AA41" s="190"/>
      <c r="AB41" s="190"/>
      <c r="AC41" s="190"/>
      <c r="AD41" s="191"/>
      <c r="AE41" s="194"/>
      <c r="AF41" s="190"/>
      <c r="AG41" s="190"/>
      <c r="AH41" s="190"/>
      <c r="AI41" s="190"/>
      <c r="AJ41" s="191"/>
      <c r="AK41" s="194"/>
      <c r="AL41" s="190"/>
      <c r="AM41" s="190"/>
      <c r="AN41" s="190"/>
      <c r="AO41" s="190"/>
      <c r="AP41" s="191"/>
      <c r="AQ41" s="194"/>
      <c r="AR41" s="190"/>
      <c r="AS41" s="190"/>
      <c r="AT41" s="190"/>
      <c r="AU41" s="190"/>
      <c r="AV41" s="191"/>
      <c r="AW41" s="194"/>
      <c r="AX41" s="190"/>
      <c r="AY41" s="190"/>
      <c r="AZ41" s="190"/>
      <c r="BA41" s="190"/>
      <c r="BB41" s="191"/>
    </row>
    <row r="42" spans="1:54" x14ac:dyDescent="0.2">
      <c r="A42" s="194"/>
      <c r="B42" s="190"/>
      <c r="C42" s="190"/>
      <c r="D42" s="190"/>
      <c r="E42" s="190"/>
      <c r="F42" s="191"/>
      <c r="G42" s="194" t="s">
        <v>120</v>
      </c>
      <c r="H42" s="190"/>
      <c r="I42" s="190"/>
      <c r="J42" s="190"/>
      <c r="K42" s="201">
        <f>'WUTC_KENT_MF 2018'!D25</f>
        <v>1120.4407374449993</v>
      </c>
      <c r="L42" s="191"/>
      <c r="M42" s="194" t="s">
        <v>120</v>
      </c>
      <c r="N42" s="190"/>
      <c r="O42" s="190"/>
      <c r="P42" s="190"/>
      <c r="Q42" s="201">
        <f>'WUTC_KENT_MF (2)'!D25</f>
        <v>1340.5322211809992</v>
      </c>
      <c r="R42" s="191"/>
      <c r="S42" s="194" t="s">
        <v>120</v>
      </c>
      <c r="T42" s="190"/>
      <c r="U42" s="190"/>
      <c r="V42" s="190"/>
      <c r="W42" s="201">
        <f>'2016 Staff Summary'!F14</f>
        <v>1983.6602813481791</v>
      </c>
      <c r="X42" s="191"/>
      <c r="Y42" s="194" t="s">
        <v>120</v>
      </c>
      <c r="Z42" s="190"/>
      <c r="AA42" s="190"/>
      <c r="AB42" s="190"/>
      <c r="AC42" s="201">
        <f>Multi_Family!P93</f>
        <v>2693.8231264988126</v>
      </c>
      <c r="AD42" s="191"/>
      <c r="AE42" s="194" t="s">
        <v>120</v>
      </c>
      <c r="AF42" s="190"/>
      <c r="AG42" s="190"/>
      <c r="AH42" s="190"/>
      <c r="AI42" s="201">
        <f>[6]Value!$O$20</f>
        <v>3527.8879834542217</v>
      </c>
      <c r="AJ42" s="191"/>
      <c r="AK42" s="194" t="s">
        <v>120</v>
      </c>
      <c r="AL42" s="190"/>
      <c r="AM42" s="190"/>
      <c r="AN42" s="190"/>
      <c r="AO42" s="201">
        <f>[10]WUTC_KENT_MF!$G$30</f>
        <v>3708.3306417302647</v>
      </c>
      <c r="AP42" s="191"/>
      <c r="AQ42" s="194" t="s">
        <v>120</v>
      </c>
      <c r="AR42" s="190"/>
      <c r="AS42" s="190"/>
      <c r="AT42" s="190"/>
      <c r="AU42" s="201">
        <f>[8]WUTC_KENT_MF!$G$30</f>
        <v>3607.6951571771342</v>
      </c>
      <c r="AV42" s="191"/>
      <c r="AW42" s="194" t="s">
        <v>120</v>
      </c>
      <c r="AX42" s="190"/>
      <c r="AY42" s="190"/>
      <c r="AZ42" s="190"/>
      <c r="BA42" s="201">
        <f>[9]WUTC_KENT_MF!$G$31</f>
        <v>5187.0659435797243</v>
      </c>
      <c r="BB42" s="191"/>
    </row>
    <row r="43" spans="1:54" x14ac:dyDescent="0.2">
      <c r="A43" s="194" t="s">
        <v>120</v>
      </c>
      <c r="B43" s="190"/>
      <c r="C43" s="190"/>
      <c r="D43" s="190"/>
      <c r="E43" s="201">
        <f>'Value MF 181017'!M20</f>
        <v>656.40382692999935</v>
      </c>
      <c r="F43" s="191"/>
      <c r="G43" s="194"/>
      <c r="H43" s="190"/>
      <c r="I43" s="190"/>
      <c r="J43" s="190"/>
      <c r="K43" s="190"/>
      <c r="L43" s="191"/>
      <c r="M43" s="194"/>
      <c r="N43" s="190"/>
      <c r="O43" s="190"/>
      <c r="P43" s="190"/>
      <c r="Q43" s="190"/>
      <c r="R43" s="191"/>
      <c r="S43" s="194"/>
      <c r="T43" s="190"/>
      <c r="U43" s="190"/>
      <c r="V43" s="190"/>
      <c r="W43" s="190"/>
      <c r="X43" s="191"/>
      <c r="Y43" s="194"/>
      <c r="Z43" s="190"/>
      <c r="AA43" s="190"/>
      <c r="AB43" s="190"/>
      <c r="AC43" s="190"/>
      <c r="AD43" s="191"/>
      <c r="AE43" s="194"/>
      <c r="AF43" s="190"/>
      <c r="AG43" s="190"/>
      <c r="AH43" s="190"/>
      <c r="AI43" s="190"/>
      <c r="AJ43" s="191"/>
      <c r="AK43" s="194"/>
      <c r="AL43" s="190"/>
      <c r="AM43" s="190"/>
      <c r="AN43" s="190"/>
      <c r="AO43" s="190"/>
      <c r="AP43" s="191"/>
      <c r="AQ43" s="194"/>
      <c r="AR43" s="190"/>
      <c r="AS43" s="190"/>
      <c r="AT43" s="190"/>
      <c r="AU43" s="190"/>
      <c r="AV43" s="191"/>
      <c r="AW43" s="194"/>
      <c r="AX43" s="190"/>
      <c r="AY43" s="190"/>
      <c r="AZ43" s="190"/>
      <c r="BA43" s="190"/>
      <c r="BB43" s="191"/>
    </row>
    <row r="44" spans="1:54" x14ac:dyDescent="0.2">
      <c r="A44" s="194" t="str">
        <f>A16</f>
        <v>company retained</v>
      </c>
      <c r="B44" s="190"/>
      <c r="C44" s="190"/>
      <c r="D44" s="190"/>
      <c r="E44" s="201">
        <f>'Value MF 181017'!O20</f>
        <v>328.20191346499968</v>
      </c>
      <c r="F44" s="191"/>
      <c r="G44" s="194" t="s">
        <v>122</v>
      </c>
      <c r="H44" s="190"/>
      <c r="I44" s="190"/>
      <c r="J44" s="190"/>
      <c r="K44" s="201">
        <f>K42-K40</f>
        <v>-429.98513947794277</v>
      </c>
      <c r="L44" s="191"/>
      <c r="M44" s="194" t="s">
        <v>122</v>
      </c>
      <c r="N44" s="190"/>
      <c r="O44" s="190"/>
      <c r="P44" s="190"/>
      <c r="Q44" s="201">
        <f>Q42-Q40</f>
        <v>-380.50592485682432</v>
      </c>
      <c r="R44" s="191"/>
      <c r="S44" s="194" t="s">
        <v>122</v>
      </c>
      <c r="T44" s="190"/>
      <c r="U44" s="190"/>
      <c r="V44" s="190"/>
      <c r="W44" s="201">
        <f>W42-W40</f>
        <v>-439.4715359258139</v>
      </c>
      <c r="X44" s="191"/>
      <c r="Y44" s="194" t="s">
        <v>122</v>
      </c>
      <c r="Z44" s="190"/>
      <c r="AA44" s="190"/>
      <c r="AB44" s="190"/>
      <c r="AC44" s="201">
        <f>AC42-AC40</f>
        <v>263.09546816050488</v>
      </c>
      <c r="AD44" s="191"/>
      <c r="AE44" s="194" t="s">
        <v>122</v>
      </c>
      <c r="AF44" s="190"/>
      <c r="AG44" s="190"/>
      <c r="AH44" s="190"/>
      <c r="AI44" s="201">
        <f>AI42-AI40</f>
        <v>910.4730305290982</v>
      </c>
      <c r="AJ44" s="191"/>
      <c r="AK44" s="194" t="s">
        <v>122</v>
      </c>
      <c r="AL44" s="190"/>
      <c r="AM44" s="190"/>
      <c r="AN44" s="190"/>
      <c r="AO44" s="201">
        <f>AO42-AO40</f>
        <v>-1268.0120715138437</v>
      </c>
      <c r="AP44" s="191"/>
      <c r="AQ44" s="194" t="s">
        <v>122</v>
      </c>
      <c r="AR44" s="190"/>
      <c r="AS44" s="190"/>
      <c r="AT44" s="190"/>
      <c r="AU44" s="201">
        <f>AU42-AU40</f>
        <v>1968.1070093069777</v>
      </c>
      <c r="AV44" s="191"/>
      <c r="AW44" s="194" t="s">
        <v>122</v>
      </c>
      <c r="AX44" s="190"/>
      <c r="AY44" s="190"/>
      <c r="AZ44" s="190"/>
      <c r="BA44" s="201">
        <f>BA42-BA40</f>
        <v>2360.1657602463915</v>
      </c>
      <c r="BB44" s="191"/>
    </row>
    <row r="45" spans="1:54" x14ac:dyDescent="0.2">
      <c r="A45" s="194"/>
      <c r="B45" s="190"/>
      <c r="C45" s="190"/>
      <c r="D45" s="190"/>
      <c r="E45" s="190"/>
      <c r="F45" s="191"/>
      <c r="G45" s="194"/>
      <c r="H45" s="190"/>
      <c r="I45" s="190"/>
      <c r="J45" s="190"/>
      <c r="K45" s="190"/>
      <c r="L45" s="191"/>
      <c r="M45" s="194"/>
      <c r="N45" s="190"/>
      <c r="O45" s="190"/>
      <c r="P45" s="190"/>
      <c r="Q45" s="190"/>
      <c r="R45" s="191"/>
      <c r="S45" s="194"/>
      <c r="T45" s="190"/>
      <c r="U45" s="190"/>
      <c r="V45" s="190"/>
      <c r="W45" s="190"/>
      <c r="X45" s="191"/>
      <c r="Y45" s="194"/>
      <c r="Z45" s="190"/>
      <c r="AA45" s="190"/>
      <c r="AB45" s="190"/>
      <c r="AC45" s="190"/>
      <c r="AD45" s="191"/>
      <c r="AE45" s="194"/>
      <c r="AF45" s="190"/>
      <c r="AG45" s="190"/>
      <c r="AH45" s="190"/>
      <c r="AI45" s="190"/>
      <c r="AJ45" s="191"/>
      <c r="AK45" s="194"/>
      <c r="AL45" s="190"/>
      <c r="AM45" s="190"/>
      <c r="AN45" s="190"/>
      <c r="AO45" s="190"/>
      <c r="AP45" s="191"/>
      <c r="AQ45" s="194"/>
      <c r="AR45" s="190"/>
      <c r="AS45" s="190"/>
      <c r="AT45" s="190"/>
      <c r="AU45" s="190"/>
      <c r="AV45" s="191"/>
      <c r="AW45" s="194"/>
      <c r="AX45" s="190"/>
      <c r="AY45" s="190"/>
      <c r="AZ45" s="190"/>
      <c r="BA45" s="190"/>
      <c r="BB45" s="191"/>
    </row>
    <row r="46" spans="1:54" x14ac:dyDescent="0.2">
      <c r="A46" s="194" t="s">
        <v>122</v>
      </c>
      <c r="B46" s="190"/>
      <c r="C46" s="190"/>
      <c r="D46" s="190"/>
      <c r="E46" s="201">
        <f>(E43-E44)-E41</f>
        <v>-126.27421381738122</v>
      </c>
      <c r="F46" s="191"/>
      <c r="G46" s="194" t="s">
        <v>123</v>
      </c>
      <c r="H46" s="190"/>
      <c r="I46" s="190"/>
      <c r="J46" s="190"/>
      <c r="K46" s="201">
        <f>+I40</f>
        <v>4996.16</v>
      </c>
      <c r="L46" s="191"/>
      <c r="M46" s="194" t="s">
        <v>123</v>
      </c>
      <c r="N46" s="190"/>
      <c r="O46" s="190"/>
      <c r="P46" s="190"/>
      <c r="Q46" s="201">
        <f>+O40</f>
        <v>4569.88</v>
      </c>
      <c r="R46" s="191"/>
      <c r="S46" s="194" t="s">
        <v>123</v>
      </c>
      <c r="T46" s="190"/>
      <c r="U46" s="190"/>
      <c r="V46" s="190"/>
      <c r="W46" s="201">
        <f>+U40</f>
        <v>5479.7499999999991</v>
      </c>
      <c r="X46" s="191"/>
      <c r="Y46" s="194" t="s">
        <v>123</v>
      </c>
      <c r="Z46" s="190"/>
      <c r="AA46" s="190"/>
      <c r="AB46" s="190"/>
      <c r="AC46" s="201">
        <f>+AA40</f>
        <v>6126.42</v>
      </c>
      <c r="AD46" s="191"/>
      <c r="AE46" s="194" t="s">
        <v>123</v>
      </c>
      <c r="AF46" s="190"/>
      <c r="AG46" s="190"/>
      <c r="AH46" s="190"/>
      <c r="AI46" s="201">
        <f>+AG40</f>
        <v>7054.83</v>
      </c>
      <c r="AJ46" s="191"/>
      <c r="AK46" s="194" t="s">
        <v>123</v>
      </c>
      <c r="AL46" s="190"/>
      <c r="AM46" s="190"/>
      <c r="AN46" s="190"/>
      <c r="AO46" s="201">
        <f>+AM40</f>
        <v>10596.816800000001</v>
      </c>
      <c r="AP46" s="191"/>
      <c r="AQ46" s="194" t="s">
        <v>123</v>
      </c>
      <c r="AR46" s="190"/>
      <c r="AS46" s="190"/>
      <c r="AT46" s="190"/>
      <c r="AU46" s="226">
        <f>AS40/10*12</f>
        <v>11256.905160000002</v>
      </c>
      <c r="AV46" s="191"/>
      <c r="AW46" s="194" t="s">
        <v>123</v>
      </c>
      <c r="AX46" s="190"/>
      <c r="AY46" s="190"/>
      <c r="AZ46" s="190"/>
      <c r="BA46" s="201">
        <f>+AY40</f>
        <v>25542.416666666664</v>
      </c>
      <c r="BB46" s="191"/>
    </row>
    <row r="47" spans="1:54" x14ac:dyDescent="0.2">
      <c r="A47" s="194"/>
      <c r="B47" s="190"/>
      <c r="C47" s="190"/>
      <c r="D47" s="190"/>
      <c r="E47" s="190"/>
      <c r="F47" s="191"/>
      <c r="G47" s="194"/>
      <c r="H47" s="190"/>
      <c r="I47" s="190"/>
      <c r="J47" s="190"/>
      <c r="K47" s="190"/>
      <c r="L47" s="191"/>
      <c r="M47" s="194"/>
      <c r="N47" s="190"/>
      <c r="O47" s="190"/>
      <c r="P47" s="190"/>
      <c r="Q47" s="190"/>
      <c r="R47" s="191"/>
      <c r="S47" s="194"/>
      <c r="T47" s="190"/>
      <c r="U47" s="190"/>
      <c r="V47" s="190"/>
      <c r="W47" s="190"/>
      <c r="X47" s="191"/>
      <c r="Y47" s="194"/>
      <c r="Z47" s="190"/>
      <c r="AA47" s="190"/>
      <c r="AB47" s="190"/>
      <c r="AC47" s="190"/>
      <c r="AD47" s="191"/>
      <c r="AE47" s="194"/>
      <c r="AF47" s="190"/>
      <c r="AG47" s="190"/>
      <c r="AH47" s="190"/>
      <c r="AI47" s="190"/>
      <c r="AJ47" s="191"/>
      <c r="AK47" s="194"/>
      <c r="AL47" s="190"/>
      <c r="AM47" s="190"/>
      <c r="AN47" s="190"/>
      <c r="AO47" s="190"/>
      <c r="AP47" s="191"/>
      <c r="AQ47" s="194"/>
      <c r="AR47" s="190"/>
      <c r="AS47" s="190"/>
      <c r="AT47" s="190"/>
      <c r="AU47" s="190"/>
      <c r="AV47" s="191"/>
      <c r="AW47" s="194"/>
      <c r="AX47" s="190"/>
      <c r="AY47" s="190"/>
      <c r="AZ47" s="190"/>
      <c r="BA47" s="190"/>
      <c r="BB47" s="191"/>
    </row>
    <row r="48" spans="1:54" x14ac:dyDescent="0.2">
      <c r="A48" s="194" t="s">
        <v>237</v>
      </c>
      <c r="B48" s="190"/>
      <c r="C48" s="190"/>
      <c r="D48" s="190"/>
      <c r="E48" s="201">
        <f>+C41</f>
        <v>2212.66</v>
      </c>
      <c r="F48" s="227">
        <f>(E46/E48)</f>
        <v>-5.7068963969783532E-2</v>
      </c>
      <c r="G48" s="194" t="s">
        <v>124</v>
      </c>
      <c r="H48" s="190"/>
      <c r="I48" s="190"/>
      <c r="J48" s="190"/>
      <c r="K48" s="190"/>
      <c r="L48" s="227">
        <f>(K44/K46)</f>
        <v>-8.6063124375108643E-2</v>
      </c>
      <c r="M48" s="194" t="s">
        <v>124</v>
      </c>
      <c r="N48" s="190"/>
      <c r="O48" s="190"/>
      <c r="P48" s="190"/>
      <c r="Q48" s="190"/>
      <c r="R48" s="227">
        <f>(Q44/Q46)</f>
        <v>-8.3263876700662667E-2</v>
      </c>
      <c r="S48" s="194" t="s">
        <v>124</v>
      </c>
      <c r="T48" s="190"/>
      <c r="U48" s="190"/>
      <c r="V48" s="190"/>
      <c r="W48" s="190"/>
      <c r="X48" s="227">
        <f>(W44/W46)</f>
        <v>-8.0199194475261457E-2</v>
      </c>
      <c r="Y48" s="194" t="s">
        <v>124</v>
      </c>
      <c r="Z48" s="190"/>
      <c r="AA48" s="190"/>
      <c r="AB48" s="190"/>
      <c r="AC48" s="190"/>
      <c r="AD48" s="227">
        <f>(AC44/AC46)</f>
        <v>4.2944406057780056E-2</v>
      </c>
      <c r="AE48" s="194" t="s">
        <v>124</v>
      </c>
      <c r="AF48" s="190"/>
      <c r="AG48" s="190"/>
      <c r="AH48" s="190"/>
      <c r="AI48" s="190"/>
      <c r="AJ48" s="227">
        <f>(AI44/AI46)</f>
        <v>0.12905669314910467</v>
      </c>
      <c r="AK48" s="194" t="s">
        <v>124</v>
      </c>
      <c r="AL48" s="190"/>
      <c r="AM48" s="190"/>
      <c r="AN48" s="190"/>
      <c r="AO48" s="190"/>
      <c r="AP48" s="227">
        <f>(AO44/AO46)</f>
        <v>-0.11965971436949288</v>
      </c>
      <c r="AQ48" s="194" t="s">
        <v>124</v>
      </c>
      <c r="AR48" s="190"/>
      <c r="AS48" s="190"/>
      <c r="AT48" s="190"/>
      <c r="AU48" s="190"/>
      <c r="AV48" s="227">
        <f>(AU44/AU46)</f>
        <v>0.17483553262049312</v>
      </c>
      <c r="AW48" s="194" t="s">
        <v>124</v>
      </c>
      <c r="AX48" s="190"/>
      <c r="AY48" s="190"/>
      <c r="AZ48" s="190"/>
      <c r="BA48" s="190"/>
      <c r="BB48" s="227">
        <f>(BA44/BA46)</f>
        <v>9.2401818944816305E-2</v>
      </c>
    </row>
    <row r="49" spans="1:54" x14ac:dyDescent="0.2">
      <c r="A49" s="194"/>
      <c r="B49" s="190"/>
      <c r="C49" s="190"/>
      <c r="D49" s="190"/>
      <c r="E49" s="190"/>
      <c r="F49" s="191"/>
      <c r="G49" s="194"/>
      <c r="H49" s="190"/>
      <c r="I49" s="190"/>
      <c r="J49" s="190"/>
      <c r="K49" s="201"/>
      <c r="L49" s="191"/>
      <c r="M49" s="194"/>
      <c r="N49" s="190"/>
      <c r="O49" s="190"/>
      <c r="P49" s="190"/>
      <c r="Q49" s="201"/>
      <c r="R49" s="191"/>
      <c r="S49" s="194"/>
      <c r="T49" s="190"/>
      <c r="U49" s="190"/>
      <c r="V49" s="190"/>
      <c r="W49" s="201"/>
      <c r="X49" s="191"/>
      <c r="Y49" s="194"/>
      <c r="Z49" s="190"/>
      <c r="AA49" s="190"/>
      <c r="AB49" s="190"/>
      <c r="AC49" s="201"/>
      <c r="AD49" s="191"/>
      <c r="AE49" s="194"/>
      <c r="AF49" s="190"/>
      <c r="AG49" s="190"/>
      <c r="AH49" s="190"/>
      <c r="AI49" s="201"/>
      <c r="AJ49" s="191"/>
      <c r="AK49" s="194"/>
      <c r="AL49" s="190"/>
      <c r="AM49" s="190"/>
      <c r="AN49" s="190"/>
      <c r="AO49" s="201"/>
      <c r="AP49" s="191"/>
      <c r="AQ49" s="194"/>
      <c r="AR49" s="190"/>
      <c r="AS49" s="190"/>
      <c r="AT49" s="190"/>
      <c r="AU49" s="201"/>
      <c r="AV49" s="191"/>
      <c r="AW49" s="194"/>
      <c r="AX49" s="190"/>
      <c r="AY49" s="190"/>
      <c r="AZ49" s="190"/>
      <c r="BA49" s="201"/>
      <c r="BB49" s="191"/>
    </row>
    <row r="50" spans="1:54" ht="16.5" x14ac:dyDescent="0.35">
      <c r="A50" s="194" t="s">
        <v>124</v>
      </c>
      <c r="B50" s="190"/>
      <c r="C50" s="190"/>
      <c r="D50" s="190"/>
      <c r="E50" s="190"/>
      <c r="F50" s="191"/>
      <c r="G50" s="197" t="str">
        <f>G23</f>
        <v>Projected Revenue November 2017-April 2018</v>
      </c>
      <c r="H50" s="198"/>
      <c r="I50" s="190"/>
      <c r="J50" s="190"/>
      <c r="K50" s="207">
        <f>'WUTC_KENT_MF 2018'!D27</f>
        <v>370.16168718499972</v>
      </c>
      <c r="L50" s="191"/>
      <c r="M50" s="197" t="str">
        <f>M23</f>
        <v>Projected Revenue May 2017-April 2018</v>
      </c>
      <c r="N50" s="198"/>
      <c r="O50" s="190"/>
      <c r="P50" s="190"/>
      <c r="Q50" s="207">
        <f>Q42</f>
        <v>1340.5322211809992</v>
      </c>
      <c r="R50" s="191"/>
      <c r="S50" s="197" t="str">
        <f>S23</f>
        <v>Projected Revenue May 2016-April 2017</v>
      </c>
      <c r="T50" s="198"/>
      <c r="U50" s="190"/>
      <c r="V50" s="190"/>
      <c r="W50" s="207">
        <f>W42</f>
        <v>1983.6602813481791</v>
      </c>
      <c r="X50" s="191"/>
      <c r="Y50" s="197" t="str">
        <f>Y23</f>
        <v>Projected Revenue May 2015-April 2016</v>
      </c>
      <c r="Z50" s="198"/>
      <c r="AA50" s="190"/>
      <c r="AB50" s="190"/>
      <c r="AC50" s="207">
        <f>AC42</f>
        <v>2693.8231264988126</v>
      </c>
      <c r="AD50" s="191"/>
      <c r="AE50" s="197" t="str">
        <f>AE23</f>
        <v>Projected Revenue May 2014-April 2015</v>
      </c>
      <c r="AF50" s="198"/>
      <c r="AG50" s="190"/>
      <c r="AH50" s="190"/>
      <c r="AI50" s="207">
        <f>[6]Value!$M$20*[6]WUTC_KENT_MF!$O$54</f>
        <v>3168.7512056899991</v>
      </c>
      <c r="AJ50" s="191"/>
      <c r="AK50" s="197" t="str">
        <f>AK23</f>
        <v>Projected Revenue May 2013-April 2014</v>
      </c>
      <c r="AL50" s="198"/>
      <c r="AM50" s="190"/>
      <c r="AN50" s="190"/>
      <c r="AO50" s="207">
        <f>[7]Value!$M$20*[7]WUTC_KENT_MF!$O$54</f>
        <v>2842.0995355470618</v>
      </c>
      <c r="AP50" s="191"/>
      <c r="AQ50" s="197" t="str">
        <f>AQ23</f>
        <v>Projected Revenue October 2011-April 2012</v>
      </c>
      <c r="AR50" s="198"/>
      <c r="AS50" s="190"/>
      <c r="AT50" s="190"/>
      <c r="AU50" s="207">
        <f>AU42</f>
        <v>3607.6951571771342</v>
      </c>
      <c r="AV50" s="191"/>
      <c r="AW50" s="197" t="str">
        <f>AW23</f>
        <v>Projected Revenue October 2011-September 2012</v>
      </c>
      <c r="AX50" s="198"/>
      <c r="AY50" s="190"/>
      <c r="AZ50" s="190"/>
      <c r="BA50" s="207">
        <f>+BA42</f>
        <v>5187.0659435797243</v>
      </c>
      <c r="BB50" s="191"/>
    </row>
    <row r="51" spans="1:54" ht="16.5" x14ac:dyDescent="0.35">
      <c r="A51" s="197" t="str">
        <f>A24</f>
        <v>Projected Revenue November 2017-April 2018</v>
      </c>
      <c r="B51" s="190"/>
      <c r="C51" s="190"/>
      <c r="D51" s="190"/>
      <c r="E51" s="201"/>
      <c r="F51" s="191"/>
      <c r="G51" s="194" t="s">
        <v>123</v>
      </c>
      <c r="H51" s="190"/>
      <c r="I51" s="190"/>
      <c r="J51" s="190"/>
      <c r="K51" s="201">
        <f>'WUTC_KENT_MF 2018'!B27</f>
        <v>2518.2799999999997</v>
      </c>
      <c r="L51" s="191"/>
      <c r="M51" s="194" t="s">
        <v>123</v>
      </c>
      <c r="N51" s="190"/>
      <c r="O51" s="190"/>
      <c r="P51" s="190"/>
      <c r="Q51" s="201">
        <f>Q46</f>
        <v>4569.88</v>
      </c>
      <c r="R51" s="191"/>
      <c r="S51" s="194" t="s">
        <v>123</v>
      </c>
      <c r="T51" s="190"/>
      <c r="U51" s="190"/>
      <c r="V51" s="190"/>
      <c r="W51" s="201">
        <f>W46</f>
        <v>5479.7499999999991</v>
      </c>
      <c r="X51" s="191"/>
      <c r="Y51" s="194" t="s">
        <v>123</v>
      </c>
      <c r="Z51" s="190"/>
      <c r="AA51" s="190"/>
      <c r="AB51" s="190"/>
      <c r="AC51" s="201">
        <f>AC46</f>
        <v>6126.42</v>
      </c>
      <c r="AD51" s="191"/>
      <c r="AE51" s="194" t="s">
        <v>123</v>
      </c>
      <c r="AF51" s="190"/>
      <c r="AG51" s="190"/>
      <c r="AH51" s="190"/>
      <c r="AI51" s="201">
        <f>AI46</f>
        <v>7054.83</v>
      </c>
      <c r="AJ51" s="191"/>
      <c r="AK51" s="194" t="s">
        <v>123</v>
      </c>
      <c r="AL51" s="190"/>
      <c r="AM51" s="190"/>
      <c r="AN51" s="190"/>
      <c r="AO51" s="201">
        <f>AO46</f>
        <v>10596.816800000001</v>
      </c>
      <c r="AP51" s="191"/>
      <c r="AQ51" s="194" t="s">
        <v>123</v>
      </c>
      <c r="AR51" s="190"/>
      <c r="AS51" s="190"/>
      <c r="AT51" s="190"/>
      <c r="AU51" s="201">
        <f>AS40</f>
        <v>9380.7543000000005</v>
      </c>
      <c r="AV51" s="191"/>
      <c r="AW51" s="194" t="s">
        <v>123</v>
      </c>
      <c r="AX51" s="190"/>
      <c r="AY51" s="190"/>
      <c r="AZ51" s="190"/>
      <c r="BA51" s="201">
        <f>BA46</f>
        <v>25542.416666666664</v>
      </c>
      <c r="BB51" s="191"/>
    </row>
    <row r="52" spans="1:54" ht="16.5" x14ac:dyDescent="0.35">
      <c r="A52" s="194" t="s">
        <v>126</v>
      </c>
      <c r="B52" s="198"/>
      <c r="C52" s="190"/>
      <c r="D52" s="190"/>
      <c r="E52" s="207">
        <f>E43</f>
        <v>656.40382692999935</v>
      </c>
      <c r="F52" s="228">
        <f>(E52/E53)</f>
        <v>0.29665824253613271</v>
      </c>
      <c r="G52" s="194" t="s">
        <v>126</v>
      </c>
      <c r="H52" s="190"/>
      <c r="I52" s="190"/>
      <c r="J52" s="190"/>
      <c r="K52" s="190"/>
      <c r="L52" s="383">
        <f>(K50/K51)-0.02</f>
        <v>0.12698988483607851</v>
      </c>
      <c r="M52" s="194" t="s">
        <v>126</v>
      </c>
      <c r="N52" s="190"/>
      <c r="O52" s="190"/>
      <c r="P52" s="190"/>
      <c r="Q52" s="190"/>
      <c r="R52" s="228">
        <f>(Q50/Q51)</f>
        <v>0.29334079257682893</v>
      </c>
      <c r="S52" s="194" t="s">
        <v>126</v>
      </c>
      <c r="T52" s="190"/>
      <c r="U52" s="190"/>
      <c r="V52" s="190"/>
      <c r="W52" s="190"/>
      <c r="X52" s="228">
        <f>(W50/W51)</f>
        <v>0.3619983176875185</v>
      </c>
      <c r="Y52" s="194" t="s">
        <v>126</v>
      </c>
      <c r="Z52" s="190"/>
      <c r="AA52" s="190"/>
      <c r="AB52" s="190"/>
      <c r="AC52" s="190"/>
      <c r="AD52" s="228">
        <f>(AC50/AC51)</f>
        <v>0.43970591740344483</v>
      </c>
      <c r="AE52" s="194" t="s">
        <v>126</v>
      </c>
      <c r="AF52" s="190"/>
      <c r="AG52" s="190"/>
      <c r="AH52" s="190"/>
      <c r="AI52" s="190"/>
      <c r="AJ52" s="228">
        <f>(AI50/AI51)</f>
        <v>0.44916053337784173</v>
      </c>
      <c r="AK52" s="194" t="s">
        <v>126</v>
      </c>
      <c r="AL52" s="190"/>
      <c r="AM52" s="190"/>
      <c r="AN52" s="190"/>
      <c r="AO52" s="190"/>
      <c r="AP52" s="228">
        <f>(AO50/AO51)</f>
        <v>0.26820313960198516</v>
      </c>
      <c r="AQ52" s="194" t="s">
        <v>126</v>
      </c>
      <c r="AR52" s="190"/>
      <c r="AS52" s="190"/>
      <c r="AT52" s="190"/>
      <c r="AU52" s="190"/>
      <c r="AV52" s="211">
        <f>(AU50/AU51)/0.5*0.72395</f>
        <v>0.55684027648786971</v>
      </c>
      <c r="AW52" s="194" t="s">
        <v>126</v>
      </c>
      <c r="AX52" s="190"/>
      <c r="AY52" s="190"/>
      <c r="AZ52" s="190"/>
      <c r="BA52" s="190"/>
      <c r="BB52" s="211">
        <f>(BA50/BA51)</f>
        <v>0.20307655345505907</v>
      </c>
    </row>
    <row r="53" spans="1:54" x14ac:dyDescent="0.2">
      <c r="A53" s="194" t="s">
        <v>237</v>
      </c>
      <c r="B53" s="190"/>
      <c r="C53" s="190"/>
      <c r="D53" s="190"/>
      <c r="E53" s="201">
        <f>E48</f>
        <v>2212.66</v>
      </c>
      <c r="F53" s="191"/>
      <c r="G53" s="194"/>
      <c r="H53" s="190"/>
      <c r="I53" s="190"/>
      <c r="J53" s="190"/>
      <c r="K53" s="190"/>
      <c r="L53" s="191"/>
      <c r="M53" s="194"/>
      <c r="N53" s="190"/>
      <c r="O53" s="190"/>
      <c r="P53" s="190"/>
      <c r="Q53" s="190"/>
      <c r="R53" s="191"/>
      <c r="S53" s="194"/>
      <c r="T53" s="190"/>
      <c r="U53" s="190"/>
      <c r="V53" s="190"/>
      <c r="W53" s="190"/>
      <c r="X53" s="191"/>
      <c r="Y53" s="194"/>
      <c r="Z53" s="190"/>
      <c r="AA53" s="190"/>
      <c r="AB53" s="190"/>
      <c r="AC53" s="190"/>
      <c r="AD53" s="191"/>
      <c r="AE53" s="194"/>
      <c r="AF53" s="190"/>
      <c r="AG53" s="190"/>
      <c r="AH53" s="190"/>
      <c r="AI53" s="190"/>
      <c r="AJ53" s="191"/>
      <c r="AK53" s="194"/>
      <c r="AL53" s="190"/>
      <c r="AM53" s="190"/>
      <c r="AN53" s="190"/>
      <c r="AO53" s="190"/>
      <c r="AP53" s="191"/>
      <c r="AQ53" s="194"/>
      <c r="AR53" s="190"/>
      <c r="AS53" s="190"/>
      <c r="AT53" s="190"/>
      <c r="AU53" s="190"/>
      <c r="AV53" s="191"/>
      <c r="AW53" s="194"/>
      <c r="AX53" s="190"/>
      <c r="AY53" s="190"/>
      <c r="AZ53" s="190"/>
      <c r="BA53" s="190"/>
      <c r="BB53" s="191"/>
    </row>
    <row r="54" spans="1:54" ht="18.75" thickBot="1" x14ac:dyDescent="0.4">
      <c r="A54" s="187" t="s">
        <v>131</v>
      </c>
      <c r="B54" s="190"/>
      <c r="C54" s="190"/>
      <c r="D54" s="190"/>
      <c r="E54" s="190"/>
      <c r="F54" s="212">
        <f>ROUND(+F52+F48,2)</f>
        <v>0.24</v>
      </c>
      <c r="G54" s="187" t="s">
        <v>131</v>
      </c>
      <c r="H54" s="188"/>
      <c r="I54" s="190"/>
      <c r="J54" s="190"/>
      <c r="K54" s="190"/>
      <c r="L54" s="212">
        <f>ROUND(+L52+L48,2)</f>
        <v>0.04</v>
      </c>
      <c r="M54" s="187" t="s">
        <v>131</v>
      </c>
      <c r="N54" s="188"/>
      <c r="O54" s="190"/>
      <c r="P54" s="190"/>
      <c r="Q54" s="190"/>
      <c r="R54" s="212">
        <f>ROUND(+R52+R48,2)</f>
        <v>0.21</v>
      </c>
      <c r="S54" s="187" t="s">
        <v>131</v>
      </c>
      <c r="T54" s="188"/>
      <c r="U54" s="190"/>
      <c r="V54" s="190"/>
      <c r="W54" s="190"/>
      <c r="X54" s="212">
        <f>ROUND(+X52+X48,2)</f>
        <v>0.28000000000000003</v>
      </c>
      <c r="Y54" s="187" t="s">
        <v>131</v>
      </c>
      <c r="Z54" s="188"/>
      <c r="AA54" s="190"/>
      <c r="AB54" s="190"/>
      <c r="AC54" s="190"/>
      <c r="AD54" s="212">
        <f>ROUND(+AD52+AD48,2)</f>
        <v>0.48</v>
      </c>
      <c r="AE54" s="187" t="s">
        <v>131</v>
      </c>
      <c r="AF54" s="188"/>
      <c r="AG54" s="190"/>
      <c r="AH54" s="190"/>
      <c r="AI54" s="190"/>
      <c r="AJ54" s="212">
        <f>ROUND(+AJ52+AJ48,2)</f>
        <v>0.57999999999999996</v>
      </c>
      <c r="AK54" s="187" t="s">
        <v>131</v>
      </c>
      <c r="AL54" s="188"/>
      <c r="AM54" s="190"/>
      <c r="AN54" s="190"/>
      <c r="AO54" s="190"/>
      <c r="AP54" s="212">
        <f>ROUND(+AP52+AP48,2)</f>
        <v>0.15</v>
      </c>
      <c r="AQ54" s="187" t="s">
        <v>131</v>
      </c>
      <c r="AR54" s="188"/>
      <c r="AS54" s="190"/>
      <c r="AT54" s="190"/>
      <c r="AU54" s="190"/>
      <c r="AV54" s="213">
        <f>+AV52+AV48</f>
        <v>0.73167580910836283</v>
      </c>
      <c r="AW54" s="187" t="s">
        <v>131</v>
      </c>
      <c r="AX54" s="188"/>
      <c r="AY54" s="190"/>
      <c r="AZ54" s="190"/>
      <c r="BA54" s="190"/>
      <c r="BB54" s="213">
        <f>+BB52+BB48</f>
        <v>0.2954783723998754</v>
      </c>
    </row>
    <row r="55" spans="1:54" ht="18.75" thickTop="1" x14ac:dyDescent="0.35">
      <c r="A55" s="200" t="s">
        <v>128</v>
      </c>
      <c r="B55" s="188"/>
      <c r="C55" s="190"/>
      <c r="D55" s="190"/>
      <c r="E55" s="190"/>
      <c r="F55" s="218">
        <v>0</v>
      </c>
      <c r="G55" s="200" t="s">
        <v>128</v>
      </c>
      <c r="H55" s="188"/>
      <c r="I55" s="258">
        <v>0</v>
      </c>
      <c r="J55" s="190"/>
      <c r="K55" s="190"/>
      <c r="L55" s="218">
        <f>'WUTC_KENT_MF (2)'!C65</f>
        <v>0</v>
      </c>
      <c r="M55" s="200" t="s">
        <v>128</v>
      </c>
      <c r="N55" s="188"/>
      <c r="O55" s="258">
        <v>0</v>
      </c>
      <c r="P55" s="190"/>
      <c r="Q55" s="190"/>
      <c r="R55" s="218">
        <f>'WUTC_KENT_MF (2)'!I65</f>
        <v>0.37269249958423417</v>
      </c>
      <c r="S55" s="200" t="s">
        <v>128</v>
      </c>
      <c r="T55" s="188"/>
      <c r="U55" s="258">
        <v>0</v>
      </c>
      <c r="V55" s="190"/>
      <c r="W55" s="190"/>
      <c r="X55" s="218">
        <f>U56</f>
        <v>0</v>
      </c>
      <c r="Y55" s="200" t="s">
        <v>128</v>
      </c>
      <c r="Z55" s="188"/>
      <c r="AA55" s="258">
        <f>'2014-2015'!E7</f>
        <v>71.351714366611432</v>
      </c>
      <c r="AB55" s="190"/>
      <c r="AC55" s="190"/>
      <c r="AD55" s="218">
        <f>AA56</f>
        <v>1.1646559388127394E-2</v>
      </c>
      <c r="AE55" s="200" t="s">
        <v>128</v>
      </c>
      <c r="AF55" s="188"/>
      <c r="AG55" s="190">
        <f>[5]KC!$E$7</f>
        <v>373.27500000000003</v>
      </c>
      <c r="AH55" s="190"/>
      <c r="AI55" s="190"/>
      <c r="AJ55" s="218">
        <f>AG56</f>
        <v>5.2910559148838458E-2</v>
      </c>
      <c r="AK55" s="200" t="s">
        <v>128</v>
      </c>
      <c r="AL55" s="188"/>
      <c r="AM55" s="190"/>
      <c r="AN55" s="190"/>
      <c r="AO55" s="190"/>
      <c r="AP55" s="218">
        <f>[7]WUTC_KENT_MF!$I$65</f>
        <v>3.9961666063126629E-2</v>
      </c>
      <c r="AQ55" s="200" t="s">
        <v>128</v>
      </c>
      <c r="AR55" s="188"/>
      <c r="AS55" s="190"/>
      <c r="AT55" s="190"/>
      <c r="AU55" s="190"/>
      <c r="AV55" s="229">
        <f>[8]WUTC_KENT_MF!$I$70</f>
        <v>3.570606854468427E-2</v>
      </c>
      <c r="AW55" s="200" t="s">
        <v>128</v>
      </c>
      <c r="AX55" s="188"/>
      <c r="AY55" s="190"/>
      <c r="AZ55" s="219"/>
      <c r="BA55" s="190"/>
      <c r="BB55" s="229">
        <v>0</v>
      </c>
    </row>
    <row r="56" spans="1:54" ht="15" x14ac:dyDescent="0.35">
      <c r="B56" s="188"/>
      <c r="C56" s="258">
        <v>0</v>
      </c>
      <c r="D56" s="190"/>
      <c r="E56" s="190"/>
      <c r="F56" s="230"/>
      <c r="G56" s="194"/>
      <c r="H56" s="190"/>
      <c r="I56" s="217">
        <f>I55/K51</f>
        <v>0</v>
      </c>
      <c r="J56" s="190"/>
      <c r="K56" s="190"/>
      <c r="L56" s="230"/>
      <c r="M56" s="194"/>
      <c r="N56" s="190"/>
      <c r="O56" s="217">
        <f>O55/Q51</f>
        <v>0</v>
      </c>
      <c r="P56" s="190"/>
      <c r="Q56" s="190"/>
      <c r="R56" s="230"/>
      <c r="S56" s="194"/>
      <c r="T56" s="190"/>
      <c r="U56" s="217">
        <f>U55/W51</f>
        <v>0</v>
      </c>
      <c r="V56" s="190"/>
      <c r="W56" s="190"/>
      <c r="X56" s="230"/>
      <c r="Y56" s="194"/>
      <c r="Z56" s="190"/>
      <c r="AA56" s="217">
        <f>AA55/AC51</f>
        <v>1.1646559388127394E-2</v>
      </c>
      <c r="AB56" s="190"/>
      <c r="AC56" s="190"/>
      <c r="AD56" s="230"/>
      <c r="AE56" s="194"/>
      <c r="AF56" s="190"/>
      <c r="AG56" s="217">
        <f>AG55/AI51</f>
        <v>5.2910559148838458E-2</v>
      </c>
      <c r="AH56" s="190"/>
      <c r="AI56" s="190"/>
      <c r="AJ56" s="230"/>
      <c r="AK56" s="194"/>
      <c r="AL56" s="190"/>
      <c r="AM56" s="190"/>
      <c r="AN56" s="190"/>
      <c r="AO56" s="190"/>
      <c r="AP56" s="230"/>
      <c r="AQ56" s="194"/>
      <c r="AR56" s="190"/>
      <c r="AS56" s="190"/>
      <c r="AT56" s="190"/>
      <c r="AU56" s="190"/>
      <c r="AV56" s="191"/>
      <c r="AW56" s="194"/>
      <c r="AX56" s="190"/>
      <c r="AY56" s="190"/>
      <c r="AZ56" s="190"/>
      <c r="BA56" s="190"/>
      <c r="BB56" s="191"/>
    </row>
    <row r="57" spans="1:54" ht="18.75" thickBot="1" x14ac:dyDescent="0.4">
      <c r="A57" s="231" t="s">
        <v>129</v>
      </c>
      <c r="B57" s="232"/>
      <c r="C57" s="232"/>
      <c r="D57" s="232"/>
      <c r="E57" s="232"/>
      <c r="F57" s="233">
        <f>ROUND(SUM(F54:F56),2)</f>
        <v>0.24</v>
      </c>
      <c r="G57" s="231" t="s">
        <v>129</v>
      </c>
      <c r="H57" s="232"/>
      <c r="I57" s="232"/>
      <c r="J57" s="232"/>
      <c r="K57" s="232"/>
      <c r="L57" s="233">
        <f>ROUND(SUM(L54:L56),2)</f>
        <v>0.04</v>
      </c>
      <c r="M57" s="231" t="s">
        <v>129</v>
      </c>
      <c r="N57" s="232"/>
      <c r="O57" s="232"/>
      <c r="P57" s="232"/>
      <c r="Q57" s="232"/>
      <c r="R57" s="233">
        <f>ROUND(SUM(R54:R56),2)</f>
        <v>0.57999999999999996</v>
      </c>
      <c r="S57" s="231" t="s">
        <v>129</v>
      </c>
      <c r="T57" s="232"/>
      <c r="U57" s="232"/>
      <c r="V57" s="232"/>
      <c r="W57" s="232"/>
      <c r="X57" s="233">
        <f>ROUND(SUM(X54:X56),2)</f>
        <v>0.28000000000000003</v>
      </c>
      <c r="Y57" s="231" t="s">
        <v>129</v>
      </c>
      <c r="Z57" s="232"/>
      <c r="AA57" s="232"/>
      <c r="AB57" s="232"/>
      <c r="AC57" s="232"/>
      <c r="AD57" s="233">
        <f>ROUND(SUM(AD54:AD56),2)</f>
        <v>0.49</v>
      </c>
      <c r="AE57" s="231" t="s">
        <v>129</v>
      </c>
      <c r="AF57" s="232"/>
      <c r="AG57" s="232"/>
      <c r="AH57" s="232"/>
      <c r="AI57" s="232"/>
      <c r="AJ57" s="233">
        <f>ROUND(SUM(AJ54:AJ56),2)</f>
        <v>0.63</v>
      </c>
      <c r="AK57" s="231" t="s">
        <v>129</v>
      </c>
      <c r="AL57" s="232"/>
      <c r="AM57" s="232"/>
      <c r="AN57" s="232"/>
      <c r="AO57" s="232"/>
      <c r="AP57" s="233">
        <f>ROUND(SUM(AP54:AP56),2)</f>
        <v>0.19</v>
      </c>
      <c r="AQ57" s="231" t="s">
        <v>129</v>
      </c>
      <c r="AR57" s="234"/>
      <c r="AS57" s="234"/>
      <c r="AT57" s="234"/>
      <c r="AU57" s="234"/>
      <c r="AV57" s="235">
        <f>SUM(AV54:AV56)</f>
        <v>0.76738187765304711</v>
      </c>
      <c r="AW57" s="231" t="s">
        <v>129</v>
      </c>
      <c r="AX57" s="232"/>
      <c r="AY57" s="232"/>
      <c r="AZ57" s="236"/>
      <c r="BA57" s="232"/>
      <c r="BB57" s="235">
        <f>SUM(BB54:BB56)</f>
        <v>0.2954783723998754</v>
      </c>
    </row>
  </sheetData>
  <mergeCells count="26">
    <mergeCell ref="A4:F4"/>
    <mergeCell ref="A6:F6"/>
    <mergeCell ref="G4:L4"/>
    <mergeCell ref="G6:L6"/>
    <mergeCell ref="G33:L33"/>
    <mergeCell ref="M4:R4"/>
    <mergeCell ref="M6:R6"/>
    <mergeCell ref="M33:R33"/>
    <mergeCell ref="AQ33:AV33"/>
    <mergeCell ref="AW33:BB33"/>
    <mergeCell ref="Y4:AD4"/>
    <mergeCell ref="Y6:AD6"/>
    <mergeCell ref="Y33:AD33"/>
    <mergeCell ref="AE4:AJ4"/>
    <mergeCell ref="AK4:AP4"/>
    <mergeCell ref="AR4:AU4"/>
    <mergeCell ref="AX4:BA4"/>
    <mergeCell ref="AE6:AJ6"/>
    <mergeCell ref="AK6:AP6"/>
    <mergeCell ref="AQ6:AV6"/>
    <mergeCell ref="AW6:BB6"/>
    <mergeCell ref="S4:X4"/>
    <mergeCell ref="S6:X6"/>
    <mergeCell ref="S33:X33"/>
    <mergeCell ref="AE33:AJ33"/>
    <mergeCell ref="AK33:AP33"/>
  </mergeCells>
  <pageMargins left="0.25" right="0.25" top="0.25" bottom="0.25" header="0" footer="0"/>
  <pageSetup scale="91" fitToWidth="0" orientation="portrait" r:id="rId1"/>
  <colBreaks count="1" manualBreakCount="1">
    <brk id="42"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1"/>
  <sheetViews>
    <sheetView workbookViewId="0">
      <selection activeCell="F41" sqref="F41"/>
    </sheetView>
  </sheetViews>
  <sheetFormatPr defaultRowHeight="12.75" x14ac:dyDescent="0.2"/>
  <cols>
    <col min="2" max="2" width="3.7109375" customWidth="1"/>
    <col min="3" max="12" width="12.7109375" customWidth="1"/>
    <col min="258" max="258" width="3.7109375" customWidth="1"/>
    <col min="259" max="268" width="12.7109375" customWidth="1"/>
    <col min="514" max="514" width="3.7109375" customWidth="1"/>
    <col min="515" max="524" width="12.7109375" customWidth="1"/>
    <col min="770" max="770" width="3.7109375" customWidth="1"/>
    <col min="771" max="780" width="12.7109375" customWidth="1"/>
    <col min="1026" max="1026" width="3.7109375" customWidth="1"/>
    <col min="1027" max="1036" width="12.7109375" customWidth="1"/>
    <col min="1282" max="1282" width="3.7109375" customWidth="1"/>
    <col min="1283" max="1292" width="12.7109375" customWidth="1"/>
    <col min="1538" max="1538" width="3.7109375" customWidth="1"/>
    <col min="1539" max="1548" width="12.7109375" customWidth="1"/>
    <col min="1794" max="1794" width="3.7109375" customWidth="1"/>
    <col min="1795" max="1804" width="12.7109375" customWidth="1"/>
    <col min="2050" max="2050" width="3.7109375" customWidth="1"/>
    <col min="2051" max="2060" width="12.7109375" customWidth="1"/>
    <col min="2306" max="2306" width="3.7109375" customWidth="1"/>
    <col min="2307" max="2316" width="12.7109375" customWidth="1"/>
    <col min="2562" max="2562" width="3.7109375" customWidth="1"/>
    <col min="2563" max="2572" width="12.7109375" customWidth="1"/>
    <col min="2818" max="2818" width="3.7109375" customWidth="1"/>
    <col min="2819" max="2828" width="12.7109375" customWidth="1"/>
    <col min="3074" max="3074" width="3.7109375" customWidth="1"/>
    <col min="3075" max="3084" width="12.7109375" customWidth="1"/>
    <col min="3330" max="3330" width="3.7109375" customWidth="1"/>
    <col min="3331" max="3340" width="12.7109375" customWidth="1"/>
    <col min="3586" max="3586" width="3.7109375" customWidth="1"/>
    <col min="3587" max="3596" width="12.7109375" customWidth="1"/>
    <col min="3842" max="3842" width="3.7109375" customWidth="1"/>
    <col min="3843" max="3852" width="12.7109375" customWidth="1"/>
    <col min="4098" max="4098" width="3.7109375" customWidth="1"/>
    <col min="4099" max="4108" width="12.7109375" customWidth="1"/>
    <col min="4354" max="4354" width="3.7109375" customWidth="1"/>
    <col min="4355" max="4364" width="12.7109375" customWidth="1"/>
    <col min="4610" max="4610" width="3.7109375" customWidth="1"/>
    <col min="4611" max="4620" width="12.7109375" customWidth="1"/>
    <col min="4866" max="4866" width="3.7109375" customWidth="1"/>
    <col min="4867" max="4876" width="12.7109375" customWidth="1"/>
    <col min="5122" max="5122" width="3.7109375" customWidth="1"/>
    <col min="5123" max="5132" width="12.7109375" customWidth="1"/>
    <col min="5378" max="5378" width="3.7109375" customWidth="1"/>
    <col min="5379" max="5388" width="12.7109375" customWidth="1"/>
    <col min="5634" max="5634" width="3.7109375" customWidth="1"/>
    <col min="5635" max="5644" width="12.7109375" customWidth="1"/>
    <col min="5890" max="5890" width="3.7109375" customWidth="1"/>
    <col min="5891" max="5900" width="12.7109375" customWidth="1"/>
    <col min="6146" max="6146" width="3.7109375" customWidth="1"/>
    <col min="6147" max="6156" width="12.7109375" customWidth="1"/>
    <col min="6402" max="6402" width="3.7109375" customWidth="1"/>
    <col min="6403" max="6412" width="12.7109375" customWidth="1"/>
    <col min="6658" max="6658" width="3.7109375" customWidth="1"/>
    <col min="6659" max="6668" width="12.7109375" customWidth="1"/>
    <col min="6914" max="6914" width="3.7109375" customWidth="1"/>
    <col min="6915" max="6924" width="12.7109375" customWidth="1"/>
    <col min="7170" max="7170" width="3.7109375" customWidth="1"/>
    <col min="7171" max="7180" width="12.7109375" customWidth="1"/>
    <col min="7426" max="7426" width="3.7109375" customWidth="1"/>
    <col min="7427" max="7436" width="12.7109375" customWidth="1"/>
    <col min="7682" max="7682" width="3.7109375" customWidth="1"/>
    <col min="7683" max="7692" width="12.7109375" customWidth="1"/>
    <col min="7938" max="7938" width="3.7109375" customWidth="1"/>
    <col min="7939" max="7948" width="12.7109375" customWidth="1"/>
    <col min="8194" max="8194" width="3.7109375" customWidth="1"/>
    <col min="8195" max="8204" width="12.7109375" customWidth="1"/>
    <col min="8450" max="8450" width="3.7109375" customWidth="1"/>
    <col min="8451" max="8460" width="12.7109375" customWidth="1"/>
    <col min="8706" max="8706" width="3.7109375" customWidth="1"/>
    <col min="8707" max="8716" width="12.7109375" customWidth="1"/>
    <col min="8962" max="8962" width="3.7109375" customWidth="1"/>
    <col min="8963" max="8972" width="12.7109375" customWidth="1"/>
    <col min="9218" max="9218" width="3.7109375" customWidth="1"/>
    <col min="9219" max="9228" width="12.7109375" customWidth="1"/>
    <col min="9474" max="9474" width="3.7109375" customWidth="1"/>
    <col min="9475" max="9484" width="12.7109375" customWidth="1"/>
    <col min="9730" max="9730" width="3.7109375" customWidth="1"/>
    <col min="9731" max="9740" width="12.7109375" customWidth="1"/>
    <col min="9986" max="9986" width="3.7109375" customWidth="1"/>
    <col min="9987" max="9996" width="12.7109375" customWidth="1"/>
    <col min="10242" max="10242" width="3.7109375" customWidth="1"/>
    <col min="10243" max="10252" width="12.7109375" customWidth="1"/>
    <col min="10498" max="10498" width="3.7109375" customWidth="1"/>
    <col min="10499" max="10508" width="12.7109375" customWidth="1"/>
    <col min="10754" max="10754" width="3.7109375" customWidth="1"/>
    <col min="10755" max="10764" width="12.7109375" customWidth="1"/>
    <col min="11010" max="11010" width="3.7109375" customWidth="1"/>
    <col min="11011" max="11020" width="12.7109375" customWidth="1"/>
    <col min="11266" max="11266" width="3.7109375" customWidth="1"/>
    <col min="11267" max="11276" width="12.7109375" customWidth="1"/>
    <col min="11522" max="11522" width="3.7109375" customWidth="1"/>
    <col min="11523" max="11532" width="12.7109375" customWidth="1"/>
    <col min="11778" max="11778" width="3.7109375" customWidth="1"/>
    <col min="11779" max="11788" width="12.7109375" customWidth="1"/>
    <col min="12034" max="12034" width="3.7109375" customWidth="1"/>
    <col min="12035" max="12044" width="12.7109375" customWidth="1"/>
    <col min="12290" max="12290" width="3.7109375" customWidth="1"/>
    <col min="12291" max="12300" width="12.7109375" customWidth="1"/>
    <col min="12546" max="12546" width="3.7109375" customWidth="1"/>
    <col min="12547" max="12556" width="12.7109375" customWidth="1"/>
    <col min="12802" max="12802" width="3.7109375" customWidth="1"/>
    <col min="12803" max="12812" width="12.7109375" customWidth="1"/>
    <col min="13058" max="13058" width="3.7109375" customWidth="1"/>
    <col min="13059" max="13068" width="12.7109375" customWidth="1"/>
    <col min="13314" max="13314" width="3.7109375" customWidth="1"/>
    <col min="13315" max="13324" width="12.7109375" customWidth="1"/>
    <col min="13570" max="13570" width="3.7109375" customWidth="1"/>
    <col min="13571" max="13580" width="12.7109375" customWidth="1"/>
    <col min="13826" max="13826" width="3.7109375" customWidth="1"/>
    <col min="13827" max="13836" width="12.7109375" customWidth="1"/>
    <col min="14082" max="14082" width="3.7109375" customWidth="1"/>
    <col min="14083" max="14092" width="12.7109375" customWidth="1"/>
    <col min="14338" max="14338" width="3.7109375" customWidth="1"/>
    <col min="14339" max="14348" width="12.7109375" customWidth="1"/>
    <col min="14594" max="14594" width="3.7109375" customWidth="1"/>
    <col min="14595" max="14604" width="12.7109375" customWidth="1"/>
    <col min="14850" max="14850" width="3.7109375" customWidth="1"/>
    <col min="14851" max="14860" width="12.7109375" customWidth="1"/>
    <col min="15106" max="15106" width="3.7109375" customWidth="1"/>
    <col min="15107" max="15116" width="12.7109375" customWidth="1"/>
    <col min="15362" max="15362" width="3.7109375" customWidth="1"/>
    <col min="15363" max="15372" width="12.7109375" customWidth="1"/>
    <col min="15618" max="15618" width="3.7109375" customWidth="1"/>
    <col min="15619" max="15628" width="12.7109375" customWidth="1"/>
    <col min="15874" max="15874" width="3.7109375" customWidth="1"/>
    <col min="15875" max="15884" width="12.7109375" customWidth="1"/>
    <col min="16130" max="16130" width="3.7109375" customWidth="1"/>
    <col min="16131" max="16140" width="12.7109375" customWidth="1"/>
  </cols>
  <sheetData>
    <row r="1" spans="1:13" x14ac:dyDescent="0.2">
      <c r="A1" s="52" t="str">
        <f>"Commodity Pricing:  "&amp;TEXT(A7,"mmm-yy")&amp;" - "&amp;TEXT(A12,"mmm-yy")</f>
        <v>Commodity Pricing:  May-18 - Oct-18</v>
      </c>
      <c r="B1" s="53"/>
    </row>
    <row r="2" spans="1:13" x14ac:dyDescent="0.2">
      <c r="A2" s="54" t="s">
        <v>20</v>
      </c>
      <c r="B2" s="54"/>
    </row>
    <row r="3" spans="1:13" x14ac:dyDescent="0.2">
      <c r="A3" s="54"/>
      <c r="B3" s="54"/>
    </row>
    <row r="4" spans="1:13" x14ac:dyDescent="0.2">
      <c r="B4" s="64"/>
      <c r="C4" s="56" t="s">
        <v>21</v>
      </c>
      <c r="D4" s="56" t="s">
        <v>22</v>
      </c>
      <c r="E4" s="56" t="s">
        <v>55</v>
      </c>
      <c r="F4" s="56" t="s">
        <v>23</v>
      </c>
      <c r="G4" s="56" t="s">
        <v>24</v>
      </c>
      <c r="H4" s="56" t="s">
        <v>25</v>
      </c>
      <c r="I4" s="56" t="s">
        <v>26</v>
      </c>
      <c r="J4" s="56" t="s">
        <v>27</v>
      </c>
      <c r="K4" s="56" t="s">
        <v>28</v>
      </c>
      <c r="L4" s="56" t="s">
        <v>29</v>
      </c>
      <c r="M4" s="56"/>
    </row>
    <row r="5" spans="1:13" x14ac:dyDescent="0.2">
      <c r="B5" s="64"/>
      <c r="C5" s="107">
        <v>69</v>
      </c>
      <c r="D5" s="107">
        <v>71</v>
      </c>
      <c r="E5" s="107">
        <v>72</v>
      </c>
      <c r="F5" s="107">
        <v>67</v>
      </c>
      <c r="G5" s="107">
        <v>64</v>
      </c>
      <c r="H5" s="107">
        <v>74</v>
      </c>
      <c r="I5" s="107">
        <v>68</v>
      </c>
      <c r="J5" s="107">
        <v>68</v>
      </c>
      <c r="K5" s="107">
        <v>65</v>
      </c>
      <c r="L5" s="107">
        <v>73</v>
      </c>
      <c r="M5" s="64"/>
    </row>
    <row r="6" spans="1:13" x14ac:dyDescent="0.2">
      <c r="B6" s="64"/>
      <c r="C6" s="64"/>
      <c r="D6" s="64"/>
      <c r="E6" s="64"/>
      <c r="F6" s="64"/>
      <c r="G6" s="64"/>
      <c r="H6" s="64"/>
      <c r="I6" s="64"/>
      <c r="J6" s="64"/>
      <c r="K6" s="64"/>
      <c r="L6" s="64"/>
      <c r="M6" s="64"/>
    </row>
    <row r="7" spans="1:13" x14ac:dyDescent="0.2">
      <c r="A7" s="59">
        <f>+'[12]Commodity Tonnages'!A7</f>
        <v>43221</v>
      </c>
      <c r="B7" s="64"/>
      <c r="C7" s="65">
        <f>HLOOKUP($A7,'[12]Single Family'!$C$6:$N$79,C$5,FALSE)</f>
        <v>1082.8499999999999</v>
      </c>
      <c r="D7" s="69">
        <f>HLOOKUP($A7,'[12]Single Family'!$C$6:$N$79,D$5,FALSE)</f>
        <v>-25.26</v>
      </c>
      <c r="E7" s="69">
        <f>HLOOKUP($A7,'[12]Single Family'!$C$6:$N$79,E$5,FALSE)</f>
        <v>0</v>
      </c>
      <c r="F7" s="65">
        <f>HLOOKUP($A7,'[12]Single Family'!$C$6:$N$79,F$5,FALSE)</f>
        <v>90.64</v>
      </c>
      <c r="G7" s="65">
        <f>HLOOKUP($A7,'[12]Single Family'!$C$6:$N$79,G$5,FALSE)</f>
        <v>0</v>
      </c>
      <c r="H7" s="65">
        <f>HLOOKUP($A7,'[12]Single Family'!$C$6:$N$79,H$5,FALSE)</f>
        <v>-14.309999999999999</v>
      </c>
      <c r="I7" s="65">
        <f>HLOOKUP($A7,'[12]Single Family'!$C$6:$N$79,I$5,FALSE)</f>
        <v>100.47</v>
      </c>
      <c r="J7" s="65">
        <f>HLOOKUP($A7,'[12]Single Family'!$C$6:$N$79,J$5,FALSE)</f>
        <v>100.47</v>
      </c>
      <c r="K7" s="65">
        <f>HLOOKUP($A7,'[12]Single Family'!$C$6:$N$79,K$5,FALSE)</f>
        <v>43.519999999999996</v>
      </c>
      <c r="L7" s="69">
        <f>HLOOKUP($A7,'[12]Single Family'!$C$6:$N$79,L$5,FALSE)</f>
        <v>-134.59</v>
      </c>
      <c r="M7" s="64"/>
    </row>
    <row r="8" spans="1:13" x14ac:dyDescent="0.2">
      <c r="A8" s="59">
        <f>+'[12]Commodity Tonnages'!A8</f>
        <v>43281</v>
      </c>
      <c r="B8" s="64"/>
      <c r="C8" s="65">
        <f>HLOOKUP($A8,'[12]Single Family'!$C$6:$N$79,C$5,FALSE)</f>
        <v>1119.26</v>
      </c>
      <c r="D8" s="69">
        <f>HLOOKUP($A8,'[12]Single Family'!$C$6:$N$79,D$5,FALSE)</f>
        <v>-19.13</v>
      </c>
      <c r="E8" s="69">
        <f>HLOOKUP($A8,'[12]Single Family'!$C$6:$N$79,E$5,FALSE)</f>
        <v>0</v>
      </c>
      <c r="F8" s="65">
        <f>HLOOKUP($A8,'[12]Single Family'!$C$6:$N$79,F$5,FALSE)</f>
        <v>93.07</v>
      </c>
      <c r="G8" s="65">
        <f>HLOOKUP($A8,'[12]Single Family'!$C$6:$N$79,G$5,FALSE)</f>
        <v>0</v>
      </c>
      <c r="H8" s="65">
        <f>HLOOKUP($A8,'[12]Single Family'!$C$6:$N$79,H$5,FALSE)</f>
        <v>2</v>
      </c>
      <c r="I8" s="65">
        <f>HLOOKUP($A8,'[12]Single Family'!$C$6:$N$79,I$5,FALSE)</f>
        <v>87.96</v>
      </c>
      <c r="J8" s="65">
        <f>HLOOKUP($A8,'[12]Single Family'!$C$6:$N$79,J$5,FALSE)</f>
        <v>87.96</v>
      </c>
      <c r="K8" s="65">
        <f>HLOOKUP($A8,'[12]Single Family'!$C$6:$N$79,K$5,FALSE)</f>
        <v>60.11</v>
      </c>
      <c r="L8" s="69">
        <f>HLOOKUP($A8,'[12]Single Family'!$C$6:$N$79,L$5,FALSE)</f>
        <v>-134.59</v>
      </c>
      <c r="M8" s="64"/>
    </row>
    <row r="9" spans="1:13" x14ac:dyDescent="0.2">
      <c r="A9" s="59">
        <f>+'[12]Commodity Tonnages'!A9</f>
        <v>43312</v>
      </c>
      <c r="B9" s="60"/>
      <c r="C9" s="65">
        <f>HLOOKUP($A9,'[12]Single Family'!$C$6:$N$79,C$5,FALSE)</f>
        <v>1065.1300000000001</v>
      </c>
      <c r="D9" s="69">
        <f>HLOOKUP($A9,'[12]Single Family'!$C$6:$N$79,D$5,FALSE)</f>
        <v>-3.5700000000000003</v>
      </c>
      <c r="E9" s="69">
        <f>HLOOKUP($A9,'[12]Single Family'!$C$6:$N$79,E$5,FALSE)</f>
        <v>0</v>
      </c>
      <c r="F9" s="65">
        <f>HLOOKUP($A9,'[12]Single Family'!$C$6:$N$79,F$5,FALSE)</f>
        <v>91.06</v>
      </c>
      <c r="G9" s="65">
        <f>HLOOKUP($A9,'[12]Single Family'!$C$6:$N$79,G$5,FALSE)</f>
        <v>0</v>
      </c>
      <c r="H9" s="65">
        <f>HLOOKUP($A9,'[12]Single Family'!$C$6:$N$79,H$5,FALSE)</f>
        <v>4.1900000000000004</v>
      </c>
      <c r="I9" s="65">
        <f>HLOOKUP($A9,'[12]Single Family'!$C$6:$N$79,I$5,FALSE)</f>
        <v>109.23</v>
      </c>
      <c r="J9" s="65">
        <f>HLOOKUP($A9,'[12]Single Family'!$C$6:$N$79,J$5,FALSE)</f>
        <v>109.23</v>
      </c>
      <c r="K9" s="65">
        <f>HLOOKUP($A9,'[12]Single Family'!$C$6:$N$79,K$5,FALSE)</f>
        <v>68.38</v>
      </c>
      <c r="L9" s="69">
        <f>HLOOKUP($A9,'[12]Single Family'!$C$6:$N$79,L$5,FALSE)</f>
        <v>-134.59</v>
      </c>
      <c r="M9" s="61"/>
    </row>
    <row r="10" spans="1:13" x14ac:dyDescent="0.2">
      <c r="A10" s="59">
        <f>+'[12]Commodity Tonnages'!A10</f>
        <v>43343</v>
      </c>
      <c r="B10" s="60"/>
      <c r="C10" s="65">
        <f>HLOOKUP($A10,'[12]Single Family'!$C$6:$N$79,C$5,FALSE)</f>
        <v>1065.1300000000001</v>
      </c>
      <c r="D10" s="69">
        <f>HLOOKUP($A10,'[12]Single Family'!$C$6:$N$79,D$5,FALSE)</f>
        <v>0.74</v>
      </c>
      <c r="E10" s="69">
        <f>HLOOKUP($A10,'[12]Single Family'!$C$6:$N$79,E$5,FALSE)</f>
        <v>0</v>
      </c>
      <c r="F10" s="65">
        <f>HLOOKUP($A10,'[12]Single Family'!$C$6:$N$79,F$5,FALSE)</f>
        <v>61.85</v>
      </c>
      <c r="G10" s="65">
        <f>HLOOKUP($A10,'[12]Single Family'!$C$6:$N$79,G$5,FALSE)</f>
        <v>0</v>
      </c>
      <c r="H10" s="65">
        <f>HLOOKUP($A10,'[12]Single Family'!$C$6:$N$79,H$5,FALSE)</f>
        <v>8.42</v>
      </c>
      <c r="I10" s="65">
        <f>HLOOKUP($A10,'[12]Single Family'!$C$6:$N$79,I$5,FALSE)</f>
        <v>168.5</v>
      </c>
      <c r="J10" s="65">
        <f>HLOOKUP($A10,'[12]Single Family'!$C$6:$N$79,J$5,FALSE)</f>
        <v>168.5</v>
      </c>
      <c r="K10" s="65">
        <f>HLOOKUP($A10,'[12]Single Family'!$C$6:$N$79,K$5,FALSE)</f>
        <v>60.64</v>
      </c>
      <c r="L10" s="69">
        <f>HLOOKUP($A10,'[12]Single Family'!$C$6:$N$79,L$5,FALSE)</f>
        <v>-134.59</v>
      </c>
      <c r="M10" s="61"/>
    </row>
    <row r="11" spans="1:13" x14ac:dyDescent="0.2">
      <c r="A11" s="59">
        <f>+'[12]Commodity Tonnages'!A11</f>
        <v>43373</v>
      </c>
      <c r="B11" s="60"/>
      <c r="C11" s="65">
        <f>HLOOKUP($A11,'[12]Single Family'!$C$6:$N$79,C$5,FALSE)</f>
        <v>940.58</v>
      </c>
      <c r="D11" s="69">
        <f>HLOOKUP($A11,'[12]Single Family'!$C$6:$N$79,D$5,FALSE)</f>
        <v>-14.63</v>
      </c>
      <c r="E11" s="69">
        <f>HLOOKUP($A11,'[12]Single Family'!$C$6:$N$79,E$5,FALSE)</f>
        <v>0</v>
      </c>
      <c r="F11" s="65">
        <f>HLOOKUP($A11,'[12]Single Family'!$C$6:$N$79,F$5,FALSE)</f>
        <v>69.650000000000006</v>
      </c>
      <c r="G11" s="65">
        <f>HLOOKUP($A11,'[12]Single Family'!$C$6:$N$79,G$5,FALSE)</f>
        <v>0</v>
      </c>
      <c r="H11" s="65">
        <f>HLOOKUP($A11,'[12]Single Family'!$C$6:$N$79,H$5,FALSE)</f>
        <v>26.9</v>
      </c>
      <c r="I11" s="65">
        <f>HLOOKUP($A11,'[12]Single Family'!$C$6:$N$79,I$5,FALSE)</f>
        <v>78.83</v>
      </c>
      <c r="J11" s="65">
        <f>HLOOKUP($A11,'[12]Single Family'!$C$6:$N$79,J$5,FALSE)</f>
        <v>78.83</v>
      </c>
      <c r="K11" s="65">
        <f>HLOOKUP($A11,'[12]Single Family'!$C$6:$N$79,K$5,FALSE)</f>
        <v>63.85</v>
      </c>
      <c r="L11" s="69">
        <f>HLOOKUP($A11,'[12]Single Family'!$C$6:$N$79,L$5,FALSE)</f>
        <v>-134.59</v>
      </c>
      <c r="M11" s="61"/>
    </row>
    <row r="12" spans="1:13" x14ac:dyDescent="0.2">
      <c r="A12" s="59">
        <f>+'[12]Commodity Tonnages'!A12</f>
        <v>43404</v>
      </c>
      <c r="B12" s="60"/>
      <c r="C12" s="65">
        <f>HLOOKUP($A12,'[12]Single Family'!$C$6:$N$79,C$5,FALSE)</f>
        <v>918.23</v>
      </c>
      <c r="D12" s="69">
        <f>HLOOKUP($A12,'[12]Single Family'!$C$6:$N$79,D$5,FALSE)</f>
        <v>-16.670000000000002</v>
      </c>
      <c r="E12" s="69">
        <f>HLOOKUP($A12,'[12]Single Family'!$C$6:$N$79,E$5,FALSE)</f>
        <v>0</v>
      </c>
      <c r="F12" s="65">
        <f>HLOOKUP($A12,'[12]Single Family'!$C$6:$N$79,F$5,FALSE)</f>
        <v>78.180000000000007</v>
      </c>
      <c r="G12" s="65">
        <f>HLOOKUP($A12,'[12]Single Family'!$C$6:$N$79,G$5,FALSE)</f>
        <v>0</v>
      </c>
      <c r="H12" s="65">
        <f>HLOOKUP($A12,'[12]Single Family'!$C$6:$N$79,H$5,FALSE)</f>
        <v>25.77</v>
      </c>
      <c r="I12" s="65">
        <f>HLOOKUP($A12,'[12]Single Family'!$C$6:$N$79,I$5,FALSE)</f>
        <v>75.260000000000005</v>
      </c>
      <c r="J12" s="65">
        <f>HLOOKUP($A12,'[12]Single Family'!$C$6:$N$79,J$5,FALSE)</f>
        <v>75.260000000000005</v>
      </c>
      <c r="K12" s="65">
        <f>HLOOKUP($A12,'[12]Single Family'!$C$6:$N$79,K$5,FALSE)</f>
        <v>71.680000000000007</v>
      </c>
      <c r="L12" s="69">
        <f>HLOOKUP($A12,'[12]Single Family'!$C$6:$N$79,L$5,FALSE)</f>
        <v>-134.59</v>
      </c>
      <c r="M12" s="61"/>
    </row>
    <row r="13" spans="1:13" x14ac:dyDescent="0.2">
      <c r="A13" s="59">
        <f>+'[12]Commodity Tonnages'!A13</f>
        <v>43434</v>
      </c>
      <c r="B13" s="60"/>
      <c r="C13" s="65">
        <f>HLOOKUP($A13,'[12]Single Family'!$C$6:$N$79,C$5,FALSE)</f>
        <v>0</v>
      </c>
      <c r="D13" s="69">
        <f>HLOOKUP($A13,'[12]Single Family'!$C$6:$N$79,D$5,FALSE)</f>
        <v>0</v>
      </c>
      <c r="E13" s="69">
        <f>HLOOKUP($A13,'[12]Single Family'!$C$6:$N$79,E$5,FALSE)</f>
        <v>0</v>
      </c>
      <c r="F13" s="65">
        <f>HLOOKUP($A13,'[12]Single Family'!$C$6:$N$79,F$5,FALSE)</f>
        <v>0</v>
      </c>
      <c r="G13" s="65">
        <f>HLOOKUP($A13,'[12]Single Family'!$C$6:$N$79,G$5,FALSE)</f>
        <v>0</v>
      </c>
      <c r="H13" s="65">
        <f>HLOOKUP($A13,'[12]Single Family'!$C$6:$N$79,H$5,FALSE)</f>
        <v>0</v>
      </c>
      <c r="I13" s="65">
        <f>HLOOKUP($A13,'[12]Single Family'!$C$6:$N$79,I$5,FALSE)</f>
        <v>0</v>
      </c>
      <c r="J13" s="65">
        <f>HLOOKUP($A13,'[12]Single Family'!$C$6:$N$79,J$5,FALSE)</f>
        <v>0</v>
      </c>
      <c r="K13" s="65">
        <f>HLOOKUP($A13,'[12]Single Family'!$C$6:$N$79,K$5,FALSE)</f>
        <v>0</v>
      </c>
      <c r="L13" s="69">
        <f>HLOOKUP($A13,'[12]Single Family'!$C$6:$N$79,L$5,FALSE)</f>
        <v>0</v>
      </c>
      <c r="M13" s="61"/>
    </row>
    <row r="14" spans="1:13" x14ac:dyDescent="0.2">
      <c r="A14" s="59">
        <f>+'[12]Commodity Tonnages'!A14</f>
        <v>43465</v>
      </c>
      <c r="B14" s="60"/>
      <c r="C14" s="65">
        <f>HLOOKUP($A14,'[12]Single Family'!$C$6:$N$79,C$5,FALSE)</f>
        <v>0</v>
      </c>
      <c r="D14" s="69">
        <f>HLOOKUP($A14,'[12]Single Family'!$C$6:$N$79,D$5,FALSE)</f>
        <v>0</v>
      </c>
      <c r="E14" s="69">
        <f>HLOOKUP($A14,'[12]Single Family'!$C$6:$N$79,E$5,FALSE)</f>
        <v>0</v>
      </c>
      <c r="F14" s="65">
        <f>HLOOKUP($A14,'[12]Single Family'!$C$6:$N$79,F$5,FALSE)</f>
        <v>0</v>
      </c>
      <c r="G14" s="65">
        <f>HLOOKUP($A14,'[12]Single Family'!$C$6:$N$79,G$5,FALSE)</f>
        <v>0</v>
      </c>
      <c r="H14" s="65">
        <f>HLOOKUP($A14,'[12]Single Family'!$C$6:$N$79,H$5,FALSE)</f>
        <v>0</v>
      </c>
      <c r="I14" s="65">
        <f>HLOOKUP($A14,'[12]Single Family'!$C$6:$N$79,I$5,FALSE)</f>
        <v>0</v>
      </c>
      <c r="J14" s="65">
        <f>HLOOKUP($A14,'[12]Single Family'!$C$6:$N$79,J$5,FALSE)</f>
        <v>0</v>
      </c>
      <c r="K14" s="65">
        <f>HLOOKUP($A14,'[12]Single Family'!$C$6:$N$79,K$5,FALSE)</f>
        <v>0</v>
      </c>
      <c r="L14" s="69">
        <f>HLOOKUP($A14,'[12]Single Family'!$C$6:$N$79,L$5,FALSE)</f>
        <v>0</v>
      </c>
      <c r="M14" s="61"/>
    </row>
    <row r="15" spans="1:13" x14ac:dyDescent="0.2">
      <c r="A15" s="59">
        <f>+'[12]Commodity Tonnages'!A15</f>
        <v>43496</v>
      </c>
      <c r="B15" s="60"/>
      <c r="C15" s="65">
        <f>HLOOKUP($A15,'[12]Single Family'!$C$6:$N$79,C$5,FALSE)</f>
        <v>0</v>
      </c>
      <c r="D15" s="69">
        <f>HLOOKUP($A15,'[12]Single Family'!$C$6:$N$79,D$5,FALSE)</f>
        <v>0</v>
      </c>
      <c r="E15" s="69">
        <f>HLOOKUP($A15,'[12]Single Family'!$C$6:$N$79,E$5,FALSE)</f>
        <v>0</v>
      </c>
      <c r="F15" s="65">
        <f>HLOOKUP($A15,'[12]Single Family'!$C$6:$N$79,F$5,FALSE)</f>
        <v>0</v>
      </c>
      <c r="G15" s="65">
        <f>HLOOKUP($A15,'[12]Single Family'!$C$6:$N$79,G$5,FALSE)</f>
        <v>0</v>
      </c>
      <c r="H15" s="65">
        <f>HLOOKUP($A15,'[12]Single Family'!$C$6:$N$79,H$5,FALSE)</f>
        <v>0</v>
      </c>
      <c r="I15" s="65">
        <f>HLOOKUP($A15,'[12]Single Family'!$C$6:$N$79,I$5,FALSE)</f>
        <v>0</v>
      </c>
      <c r="J15" s="65">
        <f>HLOOKUP($A15,'[12]Single Family'!$C$6:$N$79,J$5,FALSE)</f>
        <v>0</v>
      </c>
      <c r="K15" s="65">
        <f>HLOOKUP($A15,'[12]Single Family'!$C$6:$N$79,K$5,FALSE)</f>
        <v>0</v>
      </c>
      <c r="L15" s="69">
        <f>HLOOKUP($A15,'[12]Single Family'!$C$6:$N$79,L$5,FALSE)</f>
        <v>0</v>
      </c>
      <c r="M15" s="61"/>
    </row>
    <row r="16" spans="1:13" x14ac:dyDescent="0.2">
      <c r="A16" s="59">
        <f>+'[12]Commodity Tonnages'!A16</f>
        <v>43524</v>
      </c>
      <c r="B16" s="60"/>
      <c r="C16" s="65">
        <f>HLOOKUP($A16,'[12]Single Family'!$C$6:$N$79,C$5,FALSE)</f>
        <v>0</v>
      </c>
      <c r="D16" s="69">
        <f>HLOOKUP($A16,'[12]Single Family'!$C$6:$N$79,D$5,FALSE)</f>
        <v>0</v>
      </c>
      <c r="E16" s="69">
        <f>HLOOKUP($A16,'[12]Single Family'!$C$6:$N$79,E$5,FALSE)</f>
        <v>0</v>
      </c>
      <c r="F16" s="65">
        <f>HLOOKUP($A16,'[12]Single Family'!$C$6:$N$79,F$5,FALSE)</f>
        <v>0</v>
      </c>
      <c r="G16" s="65">
        <f>HLOOKUP($A16,'[12]Single Family'!$C$6:$N$79,G$5,FALSE)</f>
        <v>0</v>
      </c>
      <c r="H16" s="65">
        <f>HLOOKUP($A16,'[12]Single Family'!$C$6:$N$79,H$5,FALSE)</f>
        <v>0</v>
      </c>
      <c r="I16" s="65">
        <f>HLOOKUP($A16,'[12]Single Family'!$C$6:$N$79,I$5,FALSE)</f>
        <v>0</v>
      </c>
      <c r="J16" s="65">
        <f>HLOOKUP($A16,'[12]Single Family'!$C$6:$N$79,J$5,FALSE)</f>
        <v>0</v>
      </c>
      <c r="K16" s="65">
        <f>HLOOKUP($A16,'[12]Single Family'!$C$6:$N$79,K$5,FALSE)</f>
        <v>0</v>
      </c>
      <c r="L16" s="69">
        <f>HLOOKUP($A16,'[12]Single Family'!$C$6:$N$79,L$5,FALSE)</f>
        <v>0</v>
      </c>
      <c r="M16" s="61"/>
    </row>
    <row r="17" spans="1:14" x14ac:dyDescent="0.2">
      <c r="A17" s="59">
        <f>+'[12]Commodity Tonnages'!A17</f>
        <v>43555</v>
      </c>
      <c r="B17" s="60"/>
      <c r="C17" s="65">
        <f>HLOOKUP($A17,'[12]Single Family'!$C$6:$N$79,C$5,FALSE)</f>
        <v>0</v>
      </c>
      <c r="D17" s="69">
        <f>HLOOKUP($A17,'[12]Single Family'!$C$6:$N$79,D$5,FALSE)</f>
        <v>0</v>
      </c>
      <c r="E17" s="69">
        <f>HLOOKUP($A17,'[12]Single Family'!$C$6:$N$79,E$5,FALSE)</f>
        <v>0</v>
      </c>
      <c r="F17" s="65">
        <f>HLOOKUP($A17,'[12]Single Family'!$C$6:$N$79,F$5,FALSE)</f>
        <v>0</v>
      </c>
      <c r="G17" s="65">
        <f>HLOOKUP($A17,'[12]Single Family'!$C$6:$N$79,G$5,FALSE)</f>
        <v>0</v>
      </c>
      <c r="H17" s="65">
        <f>HLOOKUP($A17,'[12]Single Family'!$C$6:$N$79,H$5,FALSE)</f>
        <v>0</v>
      </c>
      <c r="I17" s="65">
        <f>HLOOKUP($A17,'[12]Single Family'!$C$6:$N$79,I$5,FALSE)</f>
        <v>0</v>
      </c>
      <c r="J17" s="65">
        <f>HLOOKUP($A17,'[12]Single Family'!$C$6:$N$79,J$5,FALSE)</f>
        <v>0</v>
      </c>
      <c r="K17" s="65">
        <f>HLOOKUP($A17,'[12]Single Family'!$C$6:$N$79,K$5,FALSE)</f>
        <v>0</v>
      </c>
      <c r="L17" s="69">
        <f>HLOOKUP($A17,'[12]Single Family'!$C$6:$N$79,L$5,FALSE)</f>
        <v>0</v>
      </c>
      <c r="M17" s="61"/>
    </row>
    <row r="18" spans="1:14" x14ac:dyDescent="0.2">
      <c r="A18" s="59">
        <f>+'[12]Commodity Tonnages'!A18</f>
        <v>43585</v>
      </c>
      <c r="B18" s="60"/>
      <c r="C18" s="65">
        <f>HLOOKUP($A18,'[12]Single Family'!$C$6:$N$79,C$5,FALSE)</f>
        <v>0</v>
      </c>
      <c r="D18" s="69">
        <f>HLOOKUP($A18,'[12]Single Family'!$C$6:$N$79,D$5,FALSE)</f>
        <v>0</v>
      </c>
      <c r="E18" s="69">
        <f>HLOOKUP($A18,'[12]Single Family'!$C$6:$N$79,E$5,FALSE)</f>
        <v>0</v>
      </c>
      <c r="F18" s="65">
        <f>HLOOKUP($A18,'[12]Single Family'!$C$6:$N$79,F$5,FALSE)</f>
        <v>0</v>
      </c>
      <c r="G18" s="65">
        <f>HLOOKUP($A18,'[12]Single Family'!$C$6:$N$79,G$5,FALSE)</f>
        <v>0</v>
      </c>
      <c r="H18" s="65">
        <f>HLOOKUP($A18,'[12]Single Family'!$C$6:$N$79,H$5,FALSE)</f>
        <v>0</v>
      </c>
      <c r="I18" s="65">
        <f>HLOOKUP($A18,'[12]Single Family'!$C$6:$N$79,I$5,FALSE)</f>
        <v>0</v>
      </c>
      <c r="J18" s="65">
        <f>HLOOKUP($A18,'[12]Single Family'!$C$6:$N$79,J$5,FALSE)</f>
        <v>0</v>
      </c>
      <c r="K18" s="65">
        <f>HLOOKUP($A18,'[12]Single Family'!$C$6:$N$79,K$5,FALSE)</f>
        <v>0</v>
      </c>
      <c r="L18" s="69">
        <f>HLOOKUP($A18,'[12]Single Family'!$C$6:$N$79,L$5,FALSE)</f>
        <v>0</v>
      </c>
      <c r="M18" s="61"/>
    </row>
    <row r="19" spans="1:14" x14ac:dyDescent="0.2">
      <c r="A19" s="60"/>
      <c r="B19" s="60"/>
      <c r="C19" s="61"/>
      <c r="D19" s="61"/>
      <c r="E19" s="61"/>
      <c r="F19" s="61"/>
      <c r="G19" s="61"/>
      <c r="H19" s="61"/>
      <c r="I19" s="61"/>
      <c r="J19" s="61"/>
      <c r="K19" s="61"/>
      <c r="L19" s="60"/>
      <c r="M19" s="61"/>
    </row>
    <row r="20" spans="1:14" x14ac:dyDescent="0.2">
      <c r="A20" s="63"/>
      <c r="B20" s="60"/>
      <c r="C20" s="61"/>
      <c r="D20" s="61"/>
      <c r="E20" s="61"/>
      <c r="F20" s="61"/>
      <c r="G20" s="61"/>
      <c r="H20" s="61"/>
      <c r="I20" s="61"/>
      <c r="J20" s="61"/>
      <c r="K20" s="61"/>
      <c r="L20" s="61"/>
      <c r="M20" s="61"/>
      <c r="N20" s="61" t="s">
        <v>31</v>
      </c>
    </row>
    <row r="21" spans="1:14" x14ac:dyDescent="0.2">
      <c r="A21" s="60"/>
      <c r="B21" s="60"/>
      <c r="C21" s="60"/>
      <c r="D21" s="60"/>
      <c r="E21" s="60"/>
      <c r="F21" s="60"/>
      <c r="G21" s="60"/>
      <c r="H21" s="60"/>
      <c r="I21" s="60"/>
      <c r="J21" s="60"/>
      <c r="K21" s="60"/>
      <c r="L21" s="60"/>
      <c r="M21" s="61"/>
    </row>
    <row r="22" spans="1:14" x14ac:dyDescent="0.2">
      <c r="A22" s="60"/>
      <c r="B22" s="60"/>
      <c r="C22" s="60"/>
      <c r="D22" s="60"/>
      <c r="E22" s="60"/>
      <c r="F22" s="60"/>
      <c r="G22" s="60"/>
      <c r="H22" s="60"/>
      <c r="I22" s="60"/>
      <c r="J22" s="60"/>
      <c r="K22" s="60"/>
      <c r="L22" s="60"/>
      <c r="M22" s="61"/>
    </row>
    <row r="23" spans="1:14" x14ac:dyDescent="0.2">
      <c r="A23" s="60"/>
      <c r="B23" s="60"/>
      <c r="C23" s="60"/>
      <c r="D23" s="60"/>
      <c r="E23" s="60"/>
      <c r="F23" s="60"/>
      <c r="G23" s="60"/>
      <c r="H23" s="60"/>
      <c r="I23" s="60"/>
      <c r="J23" s="60"/>
      <c r="K23" s="60"/>
      <c r="L23" s="60"/>
      <c r="M23" s="61"/>
    </row>
    <row r="24" spans="1:14" x14ac:dyDescent="0.2">
      <c r="A24" s="60"/>
      <c r="B24" s="60"/>
      <c r="C24" s="60"/>
      <c r="D24" s="60"/>
      <c r="E24" s="60"/>
      <c r="F24" s="60"/>
      <c r="G24" s="60"/>
      <c r="H24" s="60"/>
      <c r="I24" s="60"/>
      <c r="J24" s="60"/>
      <c r="K24" s="60"/>
      <c r="L24" s="60"/>
      <c r="M24" s="61"/>
    </row>
    <row r="25" spans="1:14" x14ac:dyDescent="0.2">
      <c r="A25" s="60"/>
      <c r="B25" s="60"/>
      <c r="C25" s="60"/>
      <c r="D25" s="60"/>
      <c r="E25" s="60"/>
      <c r="F25" s="60"/>
      <c r="G25" s="60"/>
      <c r="H25" s="60"/>
      <c r="I25" s="60"/>
      <c r="J25" s="60"/>
      <c r="K25" s="60"/>
      <c r="L25" s="60"/>
      <c r="M25" s="61"/>
    </row>
    <row r="26" spans="1:14" x14ac:dyDescent="0.2">
      <c r="A26" s="60"/>
      <c r="B26" s="60"/>
      <c r="C26" s="60"/>
      <c r="D26" s="60"/>
      <c r="E26" s="60"/>
      <c r="F26" s="60"/>
      <c r="G26" s="60"/>
      <c r="H26" s="60"/>
      <c r="I26" s="60"/>
      <c r="J26" s="60"/>
      <c r="K26" s="60"/>
      <c r="L26" s="60"/>
      <c r="M26" s="61"/>
    </row>
    <row r="27" spans="1:14" x14ac:dyDescent="0.2">
      <c r="A27" s="60"/>
      <c r="B27" s="60"/>
      <c r="C27" s="60"/>
      <c r="D27" s="60"/>
      <c r="E27" s="60"/>
      <c r="F27" s="60"/>
      <c r="G27" s="60"/>
      <c r="H27" s="60"/>
      <c r="I27" s="60"/>
      <c r="J27" s="60"/>
      <c r="K27" s="60"/>
      <c r="L27" s="60"/>
      <c r="M27" s="61"/>
    </row>
    <row r="28" spans="1:14" x14ac:dyDescent="0.2">
      <c r="A28" s="60"/>
      <c r="B28" s="60"/>
      <c r="C28" s="60"/>
      <c r="D28" s="60"/>
      <c r="E28" s="60"/>
      <c r="F28" s="60"/>
      <c r="G28" s="60"/>
      <c r="H28" s="60"/>
      <c r="I28" s="60"/>
      <c r="J28" s="60"/>
      <c r="K28" s="60"/>
      <c r="L28" s="60"/>
      <c r="M28" s="61"/>
    </row>
    <row r="29" spans="1:14" x14ac:dyDescent="0.2">
      <c r="A29" s="60"/>
      <c r="B29" s="60"/>
      <c r="C29" s="60"/>
      <c r="D29" s="60"/>
      <c r="E29" s="60"/>
      <c r="F29" s="60"/>
      <c r="G29" s="60"/>
      <c r="H29" s="60"/>
      <c r="I29" s="60"/>
      <c r="J29" s="60"/>
      <c r="K29" s="60"/>
      <c r="L29" s="60"/>
      <c r="M29" s="61"/>
    </row>
    <row r="30" spans="1:14" x14ac:dyDescent="0.2">
      <c r="A30" s="60"/>
      <c r="B30" s="60"/>
      <c r="C30" s="60"/>
      <c r="D30" s="60"/>
      <c r="E30" s="60"/>
      <c r="F30" s="60"/>
      <c r="G30" s="60"/>
      <c r="H30" s="60"/>
      <c r="I30" s="60"/>
      <c r="J30" s="60"/>
      <c r="K30" s="60"/>
      <c r="L30" s="60"/>
      <c r="M30" s="61"/>
    </row>
    <row r="31" spans="1:14" x14ac:dyDescent="0.2">
      <c r="A31" s="60"/>
      <c r="B31" s="60"/>
      <c r="C31" s="60"/>
      <c r="D31" s="60"/>
      <c r="E31" s="60"/>
      <c r="F31" s="60"/>
      <c r="G31" s="60"/>
      <c r="H31" s="60"/>
      <c r="I31" s="60"/>
      <c r="J31" s="60"/>
      <c r="K31" s="60"/>
      <c r="L31" s="60"/>
      <c r="M31" s="60"/>
    </row>
    <row r="32" spans="1:14" x14ac:dyDescent="0.2">
      <c r="A32" s="60"/>
      <c r="B32" s="60"/>
      <c r="C32" s="60"/>
      <c r="D32" s="60"/>
      <c r="E32" s="60"/>
      <c r="F32" s="60"/>
      <c r="G32" s="60"/>
      <c r="H32" s="60"/>
      <c r="I32" s="60"/>
      <c r="J32" s="60"/>
      <c r="K32" s="60"/>
      <c r="L32" s="60"/>
      <c r="M32" s="60"/>
    </row>
    <row r="33" spans="1:13" x14ac:dyDescent="0.2">
      <c r="A33" s="60"/>
      <c r="B33" s="60"/>
      <c r="C33" s="60"/>
      <c r="D33" s="60"/>
      <c r="E33" s="60"/>
      <c r="F33" s="60"/>
      <c r="G33" s="60"/>
      <c r="H33" s="60"/>
      <c r="I33" s="60"/>
      <c r="J33" s="60"/>
      <c r="K33" s="60"/>
      <c r="L33" s="60"/>
      <c r="M33" s="60"/>
    </row>
    <row r="34" spans="1:13" x14ac:dyDescent="0.2">
      <c r="A34" s="60"/>
      <c r="B34" s="60"/>
      <c r="C34" s="60"/>
      <c r="D34" s="60"/>
      <c r="E34" s="60"/>
      <c r="F34" s="60"/>
      <c r="G34" s="60"/>
      <c r="H34" s="60"/>
      <c r="I34" s="60"/>
      <c r="J34" s="60"/>
      <c r="K34" s="60"/>
      <c r="L34" s="60"/>
      <c r="M34" s="60"/>
    </row>
    <row r="35" spans="1:13" x14ac:dyDescent="0.2">
      <c r="A35" s="60"/>
      <c r="B35" s="60"/>
      <c r="C35" s="60"/>
      <c r="D35" s="60"/>
      <c r="E35" s="60"/>
      <c r="F35" s="60"/>
      <c r="G35" s="60"/>
      <c r="H35" s="60"/>
      <c r="I35" s="60"/>
      <c r="J35" s="60"/>
      <c r="K35" s="60"/>
      <c r="L35" s="60"/>
      <c r="M35" s="60"/>
    </row>
    <row r="36" spans="1:13" x14ac:dyDescent="0.2">
      <c r="A36" s="60"/>
      <c r="B36" s="60"/>
      <c r="C36" s="60"/>
      <c r="D36" s="60"/>
      <c r="E36" s="60"/>
      <c r="F36" s="60"/>
      <c r="G36" s="60"/>
      <c r="H36" s="60"/>
      <c r="I36" s="60"/>
      <c r="J36" s="60"/>
      <c r="K36" s="60"/>
      <c r="L36" s="60"/>
      <c r="M36" s="60"/>
    </row>
    <row r="37" spans="1:13" x14ac:dyDescent="0.2">
      <c r="A37" s="60"/>
      <c r="B37" s="60"/>
      <c r="C37" s="60"/>
      <c r="D37" s="60"/>
      <c r="E37" s="60"/>
      <c r="F37" s="60"/>
      <c r="G37" s="60"/>
      <c r="H37" s="60"/>
      <c r="I37" s="60"/>
      <c r="J37" s="60"/>
      <c r="K37" s="60"/>
      <c r="L37" s="60"/>
      <c r="M37" s="60"/>
    </row>
    <row r="38" spans="1:13" x14ac:dyDescent="0.2">
      <c r="A38" s="60"/>
      <c r="B38" s="60"/>
      <c r="C38" s="60"/>
      <c r="D38" s="60"/>
      <c r="E38" s="60"/>
      <c r="F38" s="60"/>
      <c r="G38" s="60"/>
      <c r="H38" s="60"/>
      <c r="I38" s="60"/>
      <c r="J38" s="60"/>
      <c r="K38" s="60"/>
      <c r="L38" s="60"/>
      <c r="M38" s="60"/>
    </row>
    <row r="39" spans="1:13" x14ac:dyDescent="0.2">
      <c r="A39" s="60"/>
      <c r="B39" s="60"/>
      <c r="C39" s="60"/>
      <c r="D39" s="60"/>
      <c r="E39" s="60"/>
      <c r="F39" s="60"/>
      <c r="G39" s="60"/>
      <c r="H39" s="60"/>
      <c r="I39" s="60"/>
      <c r="J39" s="60"/>
      <c r="K39" s="60"/>
      <c r="L39" s="60"/>
      <c r="M39" s="60"/>
    </row>
    <row r="40" spans="1:13" x14ac:dyDescent="0.2">
      <c r="A40" s="60"/>
      <c r="B40" s="60"/>
      <c r="C40" s="60"/>
      <c r="D40" s="60"/>
      <c r="E40" s="60"/>
      <c r="F40" s="60"/>
      <c r="G40" s="60"/>
      <c r="H40" s="60"/>
      <c r="I40" s="60"/>
      <c r="J40" s="60"/>
      <c r="K40" s="60"/>
      <c r="L40" s="60"/>
      <c r="M40" s="60"/>
    </row>
    <row r="41" spans="1:13" x14ac:dyDescent="0.2">
      <c r="A41" s="60"/>
      <c r="B41" s="60"/>
      <c r="C41" s="60"/>
      <c r="D41" s="60"/>
      <c r="E41" s="60"/>
      <c r="F41" s="60"/>
      <c r="G41" s="60"/>
      <c r="H41" s="60"/>
      <c r="I41" s="60"/>
      <c r="J41" s="60"/>
      <c r="K41" s="60"/>
      <c r="L41" s="60"/>
      <c r="M41" s="60"/>
    </row>
    <row r="42" spans="1:13" x14ac:dyDescent="0.2">
      <c r="A42" s="60"/>
      <c r="B42" s="60"/>
      <c r="C42" s="60"/>
      <c r="D42" s="60"/>
      <c r="E42" s="60"/>
      <c r="F42" s="60"/>
      <c r="G42" s="60"/>
      <c r="H42" s="60"/>
      <c r="I42" s="60"/>
      <c r="J42" s="60"/>
      <c r="K42" s="60"/>
      <c r="L42" s="60"/>
      <c r="M42" s="60"/>
    </row>
    <row r="43" spans="1:13" x14ac:dyDescent="0.2">
      <c r="A43" s="60"/>
      <c r="B43" s="60"/>
      <c r="C43" s="60"/>
      <c r="D43" s="60"/>
      <c r="E43" s="60"/>
      <c r="F43" s="60"/>
      <c r="G43" s="60"/>
      <c r="H43" s="60"/>
      <c r="I43" s="60"/>
      <c r="J43" s="60"/>
      <c r="K43" s="60"/>
      <c r="L43" s="60"/>
      <c r="M43" s="60"/>
    </row>
    <row r="44" spans="1:13" x14ac:dyDescent="0.2">
      <c r="A44" s="60"/>
      <c r="B44" s="60"/>
      <c r="C44" s="60"/>
      <c r="D44" s="60"/>
      <c r="E44" s="60"/>
      <c r="F44" s="60"/>
      <c r="G44" s="60"/>
      <c r="H44" s="60"/>
      <c r="I44" s="60"/>
      <c r="J44" s="60"/>
      <c r="K44" s="60"/>
      <c r="L44" s="60"/>
      <c r="M44" s="60"/>
    </row>
    <row r="45" spans="1:13" x14ac:dyDescent="0.2">
      <c r="A45" s="60"/>
      <c r="B45" s="60"/>
      <c r="C45" s="60"/>
      <c r="D45" s="60"/>
      <c r="E45" s="60"/>
      <c r="F45" s="60"/>
      <c r="G45" s="60"/>
      <c r="H45" s="60"/>
      <c r="I45" s="60"/>
      <c r="J45" s="60"/>
      <c r="K45" s="60"/>
      <c r="L45" s="60"/>
      <c r="M45" s="60"/>
    </row>
    <row r="46" spans="1:13" x14ac:dyDescent="0.2">
      <c r="A46" s="60"/>
      <c r="B46" s="60"/>
      <c r="C46" s="60"/>
      <c r="D46" s="60"/>
      <c r="E46" s="60"/>
      <c r="F46" s="60"/>
      <c r="G46" s="60"/>
      <c r="H46" s="60"/>
      <c r="I46" s="60"/>
      <c r="J46" s="60"/>
      <c r="K46" s="60"/>
      <c r="L46" s="60"/>
      <c r="M46" s="60"/>
    </row>
    <row r="47" spans="1:13" x14ac:dyDescent="0.2">
      <c r="A47" s="60"/>
      <c r="B47" s="60"/>
      <c r="C47" s="60"/>
      <c r="D47" s="60"/>
      <c r="E47" s="60"/>
      <c r="F47" s="60"/>
      <c r="G47" s="60"/>
      <c r="H47" s="60"/>
      <c r="I47" s="60"/>
      <c r="J47" s="60"/>
      <c r="K47" s="60"/>
      <c r="L47" s="60"/>
      <c r="M47" s="60"/>
    </row>
    <row r="48" spans="1:13" x14ac:dyDescent="0.2">
      <c r="A48" s="60"/>
      <c r="B48" s="60"/>
      <c r="C48" s="60"/>
      <c r="D48" s="60"/>
      <c r="E48" s="60"/>
      <c r="F48" s="60"/>
      <c r="G48" s="60"/>
      <c r="H48" s="60"/>
      <c r="I48" s="60"/>
      <c r="J48" s="60"/>
      <c r="K48" s="60"/>
      <c r="L48" s="60"/>
      <c r="M48" s="60"/>
    </row>
    <row r="49" spans="1:13" x14ac:dyDescent="0.2">
      <c r="A49" s="60"/>
      <c r="B49" s="60"/>
      <c r="C49" s="60"/>
      <c r="D49" s="60"/>
      <c r="E49" s="60"/>
      <c r="F49" s="60"/>
      <c r="G49" s="60"/>
      <c r="H49" s="60"/>
      <c r="I49" s="60"/>
      <c r="J49" s="60"/>
      <c r="K49" s="60"/>
      <c r="L49" s="60"/>
      <c r="M49" s="60"/>
    </row>
    <row r="50" spans="1:13" x14ac:dyDescent="0.2">
      <c r="A50" s="60"/>
      <c r="B50" s="60"/>
      <c r="C50" s="60"/>
      <c r="D50" s="60"/>
      <c r="E50" s="60"/>
      <c r="F50" s="60"/>
      <c r="G50" s="60"/>
      <c r="H50" s="60"/>
      <c r="I50" s="60"/>
      <c r="J50" s="60"/>
      <c r="K50" s="60"/>
      <c r="L50" s="60"/>
      <c r="M50" s="60"/>
    </row>
    <row r="51" spans="1:13" x14ac:dyDescent="0.2">
      <c r="A51" s="60"/>
      <c r="B51" s="60"/>
      <c r="C51" s="60"/>
      <c r="D51" s="60"/>
      <c r="E51" s="60"/>
      <c r="F51" s="60"/>
      <c r="G51" s="60"/>
      <c r="H51" s="60"/>
      <c r="I51" s="60"/>
      <c r="J51" s="60"/>
      <c r="K51" s="60"/>
      <c r="L51" s="60"/>
      <c r="M51" s="60"/>
    </row>
    <row r="52" spans="1:13" x14ac:dyDescent="0.2">
      <c r="A52" s="60"/>
      <c r="B52" s="60"/>
      <c r="C52" s="60"/>
      <c r="D52" s="60"/>
      <c r="E52" s="60"/>
      <c r="F52" s="60"/>
      <c r="G52" s="60"/>
      <c r="H52" s="60"/>
      <c r="I52" s="60"/>
      <c r="J52" s="60"/>
      <c r="K52" s="60"/>
      <c r="L52" s="60"/>
      <c r="M52" s="60"/>
    </row>
    <row r="53" spans="1:13" x14ac:dyDescent="0.2">
      <c r="A53" s="60"/>
      <c r="B53" s="60"/>
      <c r="C53" s="60"/>
      <c r="D53" s="60"/>
      <c r="E53" s="60"/>
      <c r="F53" s="60"/>
      <c r="G53" s="60"/>
      <c r="H53" s="60"/>
      <c r="I53" s="60"/>
      <c r="J53" s="60"/>
      <c r="K53" s="60"/>
      <c r="L53" s="60"/>
      <c r="M53" s="60"/>
    </row>
    <row r="54" spans="1:13" x14ac:dyDescent="0.2">
      <c r="A54" s="60"/>
      <c r="B54" s="60"/>
      <c r="C54" s="60"/>
      <c r="D54" s="60"/>
      <c r="E54" s="60"/>
      <c r="F54" s="60"/>
      <c r="G54" s="60"/>
      <c r="H54" s="60"/>
      <c r="I54" s="60"/>
      <c r="J54" s="60"/>
      <c r="K54" s="60"/>
      <c r="L54" s="60"/>
      <c r="M54" s="60"/>
    </row>
    <row r="55" spans="1:13" x14ac:dyDescent="0.2">
      <c r="A55" s="60"/>
      <c r="B55" s="60"/>
      <c r="C55" s="60"/>
      <c r="D55" s="60"/>
      <c r="E55" s="60"/>
      <c r="F55" s="60"/>
      <c r="G55" s="60"/>
      <c r="H55" s="60"/>
      <c r="I55" s="60"/>
      <c r="J55" s="60"/>
      <c r="K55" s="60"/>
      <c r="L55" s="60"/>
      <c r="M55" s="60"/>
    </row>
    <row r="56" spans="1:13" x14ac:dyDescent="0.2">
      <c r="A56" s="60"/>
      <c r="B56" s="60"/>
      <c r="C56" s="60"/>
      <c r="D56" s="60"/>
      <c r="E56" s="60"/>
      <c r="F56" s="60"/>
      <c r="G56" s="60"/>
      <c r="H56" s="60"/>
      <c r="I56" s="60"/>
      <c r="J56" s="60"/>
      <c r="K56" s="60"/>
      <c r="L56" s="60"/>
      <c r="M56" s="60"/>
    </row>
    <row r="57" spans="1:13" x14ac:dyDescent="0.2">
      <c r="A57" s="60"/>
      <c r="B57" s="60"/>
      <c r="C57" s="60"/>
      <c r="D57" s="60"/>
      <c r="E57" s="60"/>
      <c r="F57" s="60"/>
      <c r="G57" s="60"/>
      <c r="H57" s="60"/>
      <c r="I57" s="60"/>
      <c r="J57" s="60"/>
      <c r="K57" s="60"/>
      <c r="L57" s="60"/>
      <c r="M57" s="60"/>
    </row>
    <row r="58" spans="1:13" x14ac:dyDescent="0.2">
      <c r="A58" s="60"/>
      <c r="B58" s="60"/>
      <c r="C58" s="60"/>
      <c r="D58" s="60"/>
      <c r="E58" s="60"/>
      <c r="F58" s="60"/>
      <c r="G58" s="60"/>
      <c r="H58" s="60"/>
      <c r="I58" s="60"/>
      <c r="J58" s="60"/>
      <c r="K58" s="60"/>
      <c r="L58" s="60"/>
      <c r="M58" s="60"/>
    </row>
    <row r="59" spans="1:13" x14ac:dyDescent="0.2">
      <c r="A59" s="60"/>
      <c r="B59" s="60"/>
      <c r="C59" s="60"/>
      <c r="D59" s="60"/>
      <c r="E59" s="60"/>
      <c r="F59" s="60"/>
      <c r="G59" s="60"/>
      <c r="H59" s="60"/>
      <c r="I59" s="60"/>
      <c r="J59" s="60"/>
      <c r="K59" s="60"/>
      <c r="L59" s="60"/>
      <c r="M59" s="60"/>
    </row>
    <row r="60" spans="1:13" x14ac:dyDescent="0.2">
      <c r="A60" s="60"/>
      <c r="B60" s="60"/>
      <c r="C60" s="60"/>
      <c r="D60" s="60"/>
      <c r="E60" s="60"/>
      <c r="F60" s="60"/>
      <c r="G60" s="60"/>
      <c r="H60" s="60"/>
      <c r="I60" s="60"/>
      <c r="J60" s="60"/>
      <c r="K60" s="60"/>
      <c r="L60" s="60"/>
      <c r="M60" s="60"/>
    </row>
    <row r="61" spans="1:13" x14ac:dyDescent="0.2">
      <c r="A61" s="60"/>
      <c r="B61" s="60"/>
      <c r="C61" s="60"/>
      <c r="D61" s="60"/>
      <c r="E61" s="60"/>
      <c r="F61" s="60"/>
      <c r="G61" s="60"/>
      <c r="H61" s="60"/>
      <c r="I61" s="60"/>
      <c r="J61" s="60"/>
      <c r="K61" s="60"/>
      <c r="L61" s="60"/>
      <c r="M61" s="60"/>
    </row>
    <row r="62" spans="1:13" x14ac:dyDescent="0.2">
      <c r="A62" s="60"/>
      <c r="B62" s="60"/>
      <c r="C62" s="60"/>
      <c r="D62" s="60"/>
      <c r="E62" s="60"/>
      <c r="F62" s="60"/>
      <c r="G62" s="60"/>
      <c r="H62" s="60"/>
      <c r="I62" s="60"/>
      <c r="J62" s="60"/>
      <c r="K62" s="60"/>
      <c r="L62" s="60"/>
      <c r="M62" s="60"/>
    </row>
    <row r="63" spans="1:13" x14ac:dyDescent="0.2">
      <c r="A63" s="60"/>
      <c r="B63" s="60"/>
      <c r="C63" s="60"/>
      <c r="D63" s="60"/>
      <c r="E63" s="60"/>
      <c r="F63" s="60"/>
      <c r="G63" s="60"/>
      <c r="H63" s="60"/>
      <c r="I63" s="60"/>
      <c r="J63" s="60"/>
      <c r="K63" s="60"/>
      <c r="L63" s="60"/>
      <c r="M63" s="60"/>
    </row>
    <row r="64" spans="1:13" x14ac:dyDescent="0.2">
      <c r="A64" s="60"/>
      <c r="B64" s="60"/>
      <c r="C64" s="60"/>
      <c r="D64" s="60"/>
      <c r="E64" s="60"/>
      <c r="F64" s="60"/>
      <c r="G64" s="60"/>
      <c r="H64" s="60"/>
      <c r="I64" s="60"/>
      <c r="J64" s="60"/>
      <c r="K64" s="60"/>
      <c r="L64" s="60"/>
      <c r="M64" s="60"/>
    </row>
    <row r="65" spans="1:13" x14ac:dyDescent="0.2">
      <c r="A65" s="60"/>
      <c r="B65" s="60"/>
      <c r="C65" s="60"/>
      <c r="D65" s="60"/>
      <c r="E65" s="60"/>
      <c r="F65" s="60"/>
      <c r="G65" s="60"/>
      <c r="H65" s="60"/>
      <c r="I65" s="60"/>
      <c r="J65" s="60"/>
      <c r="K65" s="60"/>
      <c r="L65" s="60"/>
      <c r="M65" s="60"/>
    </row>
    <row r="66" spans="1:13" x14ac:dyDescent="0.2">
      <c r="A66" s="60"/>
      <c r="B66" s="60"/>
      <c r="C66" s="60"/>
      <c r="D66" s="60"/>
      <c r="E66" s="60"/>
      <c r="F66" s="60"/>
      <c r="G66" s="60"/>
      <c r="H66" s="60"/>
      <c r="I66" s="60"/>
      <c r="J66" s="60"/>
      <c r="K66" s="60"/>
      <c r="L66" s="60"/>
      <c r="M66" s="60"/>
    </row>
    <row r="67" spans="1:13" x14ac:dyDescent="0.2">
      <c r="A67" s="60"/>
      <c r="B67" s="60"/>
      <c r="C67" s="60"/>
      <c r="D67" s="60"/>
      <c r="E67" s="60"/>
      <c r="F67" s="60"/>
      <c r="G67" s="60"/>
      <c r="H67" s="60"/>
      <c r="I67" s="60"/>
      <c r="J67" s="60"/>
      <c r="K67" s="60"/>
      <c r="L67" s="60"/>
      <c r="M67" s="60"/>
    </row>
    <row r="68" spans="1:13" x14ac:dyDescent="0.2">
      <c r="A68" s="60"/>
      <c r="B68" s="60"/>
      <c r="C68" s="60"/>
      <c r="D68" s="60"/>
      <c r="E68" s="60"/>
      <c r="F68" s="60"/>
      <c r="G68" s="60"/>
      <c r="H68" s="60"/>
      <c r="I68" s="60"/>
      <c r="J68" s="60"/>
      <c r="K68" s="60"/>
      <c r="L68" s="60"/>
      <c r="M68" s="60"/>
    </row>
    <row r="69" spans="1:13" x14ac:dyDescent="0.2">
      <c r="A69" s="60"/>
      <c r="B69" s="60"/>
      <c r="C69" s="60"/>
      <c r="D69" s="60"/>
      <c r="E69" s="60"/>
      <c r="F69" s="60"/>
      <c r="G69" s="60"/>
      <c r="H69" s="60"/>
      <c r="I69" s="60"/>
      <c r="J69" s="60"/>
      <c r="K69" s="60"/>
      <c r="L69" s="60"/>
      <c r="M69" s="60"/>
    </row>
    <row r="70" spans="1:13" x14ac:dyDescent="0.2">
      <c r="A70" s="60"/>
      <c r="B70" s="60"/>
      <c r="C70" s="60"/>
      <c r="D70" s="60"/>
      <c r="E70" s="60"/>
      <c r="F70" s="60"/>
      <c r="G70" s="60"/>
      <c r="H70" s="60"/>
      <c r="I70" s="60"/>
      <c r="J70" s="60"/>
      <c r="K70" s="60"/>
      <c r="L70" s="60"/>
      <c r="M70" s="60"/>
    </row>
    <row r="71" spans="1:13" x14ac:dyDescent="0.2">
      <c r="A71" s="60"/>
      <c r="B71" s="60"/>
      <c r="C71" s="60"/>
      <c r="D71" s="60"/>
      <c r="E71" s="60"/>
      <c r="F71" s="60"/>
      <c r="G71" s="60"/>
      <c r="H71" s="60"/>
      <c r="I71" s="60"/>
      <c r="J71" s="60"/>
      <c r="K71" s="60"/>
      <c r="L71" s="60"/>
      <c r="M71" s="60"/>
    </row>
    <row r="72" spans="1:13" x14ac:dyDescent="0.2">
      <c r="A72" s="60"/>
      <c r="B72" s="60"/>
      <c r="C72" s="60"/>
      <c r="D72" s="60"/>
      <c r="E72" s="60"/>
      <c r="F72" s="60"/>
      <c r="G72" s="60"/>
      <c r="H72" s="60"/>
      <c r="I72" s="60"/>
      <c r="J72" s="60"/>
      <c r="K72" s="60"/>
      <c r="L72" s="60"/>
      <c r="M72" s="60"/>
    </row>
    <row r="73" spans="1:13" x14ac:dyDescent="0.2">
      <c r="A73" s="60"/>
      <c r="B73" s="60"/>
      <c r="C73" s="60"/>
      <c r="D73" s="60"/>
      <c r="E73" s="60"/>
      <c r="F73" s="60"/>
      <c r="G73" s="60"/>
      <c r="H73" s="60"/>
      <c r="I73" s="60"/>
      <c r="J73" s="60"/>
      <c r="K73" s="60"/>
      <c r="L73" s="60"/>
      <c r="M73" s="60"/>
    </row>
    <row r="74" spans="1:13" x14ac:dyDescent="0.2">
      <c r="A74" s="60"/>
      <c r="B74" s="60"/>
      <c r="C74" s="60"/>
      <c r="D74" s="60"/>
      <c r="E74" s="60"/>
      <c r="F74" s="60"/>
      <c r="G74" s="60"/>
      <c r="H74" s="60"/>
      <c r="I74" s="60"/>
      <c r="J74" s="60"/>
      <c r="K74" s="60"/>
      <c r="L74" s="60"/>
      <c r="M74" s="60"/>
    </row>
    <row r="75" spans="1:13" x14ac:dyDescent="0.2">
      <c r="A75" s="60"/>
      <c r="B75" s="60"/>
      <c r="C75" s="60"/>
      <c r="D75" s="60"/>
      <c r="E75" s="60"/>
      <c r="F75" s="60"/>
      <c r="G75" s="60"/>
      <c r="H75" s="60"/>
      <c r="I75" s="60"/>
      <c r="J75" s="60"/>
      <c r="K75" s="60"/>
      <c r="L75" s="60"/>
      <c r="M75" s="60"/>
    </row>
    <row r="76" spans="1:13" x14ac:dyDescent="0.2">
      <c r="A76" s="60"/>
      <c r="B76" s="60"/>
      <c r="C76" s="60"/>
      <c r="D76" s="60"/>
      <c r="E76" s="60"/>
      <c r="F76" s="60"/>
      <c r="G76" s="60"/>
      <c r="H76" s="60"/>
      <c r="I76" s="60"/>
      <c r="J76" s="60"/>
      <c r="K76" s="60"/>
      <c r="L76" s="60"/>
      <c r="M76" s="60"/>
    </row>
    <row r="77" spans="1:13" x14ac:dyDescent="0.2">
      <c r="A77" s="60"/>
      <c r="B77" s="60"/>
      <c r="C77" s="60"/>
      <c r="D77" s="60"/>
      <c r="E77" s="60"/>
      <c r="F77" s="60"/>
      <c r="G77" s="60"/>
      <c r="H77" s="60"/>
      <c r="I77" s="60"/>
      <c r="J77" s="60"/>
      <c r="K77" s="60"/>
      <c r="L77" s="60"/>
      <c r="M77" s="60"/>
    </row>
    <row r="78" spans="1:13" x14ac:dyDescent="0.2">
      <c r="A78" s="60"/>
      <c r="B78" s="60"/>
      <c r="C78" s="60"/>
      <c r="D78" s="60"/>
      <c r="E78" s="60"/>
      <c r="F78" s="60"/>
      <c r="G78" s="60"/>
      <c r="H78" s="60"/>
      <c r="I78" s="60"/>
      <c r="J78" s="60"/>
      <c r="K78" s="60"/>
      <c r="L78" s="60"/>
      <c r="M78" s="60"/>
    </row>
    <row r="79" spans="1:13" x14ac:dyDescent="0.2">
      <c r="A79" s="60"/>
      <c r="B79" s="60"/>
      <c r="C79" s="60"/>
      <c r="D79" s="60"/>
      <c r="E79" s="60"/>
      <c r="F79" s="60"/>
      <c r="G79" s="60"/>
      <c r="H79" s="60"/>
      <c r="I79" s="60"/>
      <c r="J79" s="60"/>
      <c r="K79" s="60"/>
      <c r="L79" s="60"/>
      <c r="M79" s="60"/>
    </row>
    <row r="80" spans="1:13" x14ac:dyDescent="0.2">
      <c r="A80" s="60"/>
      <c r="B80" s="60"/>
      <c r="C80" s="60"/>
      <c r="D80" s="60"/>
      <c r="E80" s="60"/>
      <c r="F80" s="60"/>
      <c r="G80" s="60"/>
      <c r="H80" s="60"/>
      <c r="I80" s="60"/>
      <c r="J80" s="60"/>
      <c r="K80" s="60"/>
      <c r="L80" s="60"/>
      <c r="M80" s="60"/>
    </row>
    <row r="81" spans="1:13" x14ac:dyDescent="0.2">
      <c r="A81" s="60"/>
      <c r="B81" s="60"/>
      <c r="C81" s="60"/>
      <c r="D81" s="60"/>
      <c r="E81" s="60"/>
      <c r="F81" s="60"/>
      <c r="G81" s="60"/>
      <c r="H81" s="60"/>
      <c r="I81" s="60"/>
      <c r="J81" s="60"/>
      <c r="K81" s="60"/>
      <c r="L81" s="60"/>
      <c r="M81" s="60"/>
    </row>
    <row r="82" spans="1:13" x14ac:dyDescent="0.2">
      <c r="A82" s="60"/>
      <c r="B82" s="60"/>
      <c r="C82" s="60"/>
      <c r="D82" s="60"/>
      <c r="E82" s="60"/>
      <c r="F82" s="60"/>
      <c r="G82" s="60"/>
      <c r="H82" s="60"/>
      <c r="I82" s="60"/>
      <c r="J82" s="60"/>
      <c r="K82" s="60"/>
      <c r="L82" s="60"/>
      <c r="M82" s="60"/>
    </row>
    <row r="83" spans="1:13" x14ac:dyDescent="0.2">
      <c r="A83" s="60"/>
      <c r="B83" s="60"/>
      <c r="C83" s="60"/>
      <c r="D83" s="60"/>
      <c r="E83" s="60"/>
      <c r="F83" s="60"/>
      <c r="G83" s="60"/>
      <c r="H83" s="60"/>
      <c r="I83" s="60"/>
      <c r="J83" s="60"/>
      <c r="K83" s="60"/>
      <c r="L83" s="60"/>
      <c r="M83" s="60"/>
    </row>
    <row r="84" spans="1:13" x14ac:dyDescent="0.2">
      <c r="A84" s="60"/>
      <c r="B84" s="60"/>
      <c r="C84" s="60"/>
      <c r="D84" s="60"/>
      <c r="E84" s="60"/>
      <c r="F84" s="60"/>
      <c r="G84" s="60"/>
      <c r="H84" s="60"/>
      <c r="I84" s="60"/>
      <c r="J84" s="60"/>
      <c r="K84" s="60"/>
      <c r="L84" s="60"/>
      <c r="M84" s="60"/>
    </row>
    <row r="85" spans="1:13" x14ac:dyDescent="0.2">
      <c r="A85" s="60"/>
      <c r="B85" s="60"/>
      <c r="C85" s="60"/>
      <c r="D85" s="60"/>
      <c r="E85" s="60"/>
      <c r="F85" s="60"/>
      <c r="G85" s="60"/>
      <c r="H85" s="60"/>
      <c r="I85" s="60"/>
      <c r="J85" s="60"/>
      <c r="K85" s="60"/>
      <c r="L85" s="60"/>
      <c r="M85" s="60"/>
    </row>
    <row r="86" spans="1:13" x14ac:dyDescent="0.2">
      <c r="A86" s="60"/>
      <c r="B86" s="60"/>
      <c r="C86" s="60"/>
      <c r="D86" s="60"/>
      <c r="E86" s="60"/>
      <c r="F86" s="60"/>
      <c r="G86" s="60"/>
      <c r="H86" s="60"/>
      <c r="I86" s="60"/>
      <c r="J86" s="60"/>
      <c r="K86" s="60"/>
      <c r="L86" s="60"/>
      <c r="M86" s="60"/>
    </row>
    <row r="87" spans="1:13" x14ac:dyDescent="0.2">
      <c r="A87" s="60"/>
      <c r="B87" s="60"/>
      <c r="C87" s="60"/>
      <c r="D87" s="60"/>
      <c r="E87" s="60"/>
      <c r="F87" s="60"/>
      <c r="G87" s="60"/>
      <c r="H87" s="60"/>
      <c r="I87" s="60"/>
      <c r="J87" s="60"/>
      <c r="K87" s="60"/>
      <c r="L87" s="60"/>
      <c r="M87" s="60"/>
    </row>
    <row r="88" spans="1:13" x14ac:dyDescent="0.2">
      <c r="A88" s="60"/>
      <c r="B88" s="60"/>
      <c r="C88" s="60"/>
      <c r="D88" s="60"/>
      <c r="E88" s="60"/>
      <c r="F88" s="60"/>
      <c r="G88" s="60"/>
      <c r="H88" s="60"/>
      <c r="I88" s="60"/>
      <c r="J88" s="60"/>
      <c r="K88" s="60"/>
      <c r="L88" s="60"/>
      <c r="M88" s="60"/>
    </row>
    <row r="89" spans="1:13" x14ac:dyDescent="0.2">
      <c r="A89" s="60"/>
      <c r="B89" s="60"/>
      <c r="C89" s="60"/>
      <c r="D89" s="60"/>
      <c r="E89" s="60"/>
      <c r="F89" s="60"/>
      <c r="G89" s="60"/>
      <c r="H89" s="60"/>
      <c r="I89" s="60"/>
      <c r="J89" s="60"/>
      <c r="K89" s="60"/>
      <c r="L89" s="60"/>
      <c r="M89" s="60"/>
    </row>
    <row r="90" spans="1:13" x14ac:dyDescent="0.2">
      <c r="A90" s="60"/>
      <c r="B90" s="60"/>
      <c r="C90" s="60"/>
      <c r="D90" s="60"/>
      <c r="E90" s="60"/>
      <c r="F90" s="60"/>
      <c r="G90" s="60"/>
      <c r="H90" s="60"/>
      <c r="I90" s="60"/>
      <c r="J90" s="60"/>
      <c r="K90" s="60"/>
      <c r="L90" s="60"/>
      <c r="M90" s="60"/>
    </row>
    <row r="91" spans="1:13" x14ac:dyDescent="0.2">
      <c r="A91" s="60"/>
      <c r="B91" s="60"/>
      <c r="C91" s="60"/>
      <c r="D91" s="60"/>
      <c r="E91" s="60"/>
      <c r="F91" s="60"/>
      <c r="G91" s="60"/>
      <c r="H91" s="60"/>
      <c r="I91" s="60"/>
      <c r="J91" s="60"/>
      <c r="K91" s="60"/>
      <c r="L91" s="60"/>
      <c r="M91" s="60"/>
    </row>
    <row r="92" spans="1:13" x14ac:dyDescent="0.2">
      <c r="A92" s="60"/>
      <c r="B92" s="60"/>
      <c r="C92" s="60"/>
      <c r="D92" s="60"/>
      <c r="E92" s="60"/>
      <c r="F92" s="60"/>
      <c r="G92" s="60"/>
      <c r="H92" s="60"/>
      <c r="I92" s="60"/>
      <c r="J92" s="60"/>
      <c r="K92" s="60"/>
      <c r="L92" s="60"/>
      <c r="M92" s="60"/>
    </row>
    <row r="93" spans="1:13" x14ac:dyDescent="0.2">
      <c r="A93" s="60"/>
      <c r="B93" s="60"/>
      <c r="C93" s="60"/>
      <c r="D93" s="60"/>
      <c r="E93" s="60"/>
      <c r="F93" s="60"/>
      <c r="G93" s="60"/>
      <c r="H93" s="60"/>
      <c r="I93" s="60"/>
      <c r="J93" s="60"/>
      <c r="K93" s="60"/>
      <c r="L93" s="60"/>
      <c r="M93" s="60"/>
    </row>
    <row r="94" spans="1:13" x14ac:dyDescent="0.2">
      <c r="A94" s="60"/>
      <c r="B94" s="60"/>
      <c r="C94" s="60"/>
      <c r="D94" s="60"/>
      <c r="E94" s="60"/>
      <c r="F94" s="60"/>
      <c r="G94" s="60"/>
      <c r="H94" s="60"/>
      <c r="I94" s="60"/>
      <c r="J94" s="60"/>
      <c r="K94" s="60"/>
      <c r="L94" s="60"/>
      <c r="M94" s="60"/>
    </row>
    <row r="95" spans="1:13" x14ac:dyDescent="0.2">
      <c r="A95" s="60"/>
      <c r="B95" s="60"/>
      <c r="C95" s="60"/>
      <c r="D95" s="60"/>
      <c r="E95" s="60"/>
      <c r="F95" s="60"/>
      <c r="G95" s="60"/>
      <c r="H95" s="60"/>
      <c r="I95" s="60"/>
      <c r="J95" s="60"/>
      <c r="K95" s="60"/>
      <c r="L95" s="60"/>
      <c r="M95" s="60"/>
    </row>
    <row r="96" spans="1:13" x14ac:dyDescent="0.2">
      <c r="A96" s="60"/>
      <c r="B96" s="60"/>
      <c r="C96" s="60"/>
      <c r="D96" s="60"/>
      <c r="E96" s="60"/>
      <c r="F96" s="60"/>
      <c r="G96" s="60"/>
      <c r="H96" s="60"/>
      <c r="I96" s="60"/>
      <c r="J96" s="60"/>
      <c r="K96" s="60"/>
      <c r="L96" s="60"/>
      <c r="M96" s="60"/>
    </row>
    <row r="97" spans="1:13" x14ac:dyDescent="0.2">
      <c r="A97" s="60"/>
      <c r="B97" s="60"/>
      <c r="C97" s="60"/>
      <c r="D97" s="60"/>
      <c r="E97" s="60"/>
      <c r="F97" s="60"/>
      <c r="G97" s="60"/>
      <c r="H97" s="60"/>
      <c r="I97" s="60"/>
      <c r="J97" s="60"/>
      <c r="K97" s="60"/>
      <c r="L97" s="60"/>
      <c r="M97" s="60"/>
    </row>
    <row r="98" spans="1:13" x14ac:dyDescent="0.2">
      <c r="A98" s="60"/>
      <c r="B98" s="60"/>
      <c r="C98" s="60"/>
      <c r="D98" s="60"/>
      <c r="E98" s="60"/>
      <c r="F98" s="60"/>
      <c r="G98" s="60"/>
      <c r="H98" s="60"/>
      <c r="I98" s="60"/>
      <c r="J98" s="60"/>
      <c r="K98" s="60"/>
      <c r="L98" s="60"/>
      <c r="M98" s="60"/>
    </row>
    <row r="99" spans="1:13" x14ac:dyDescent="0.2">
      <c r="A99" s="60"/>
      <c r="B99" s="60"/>
      <c r="C99" s="60"/>
      <c r="D99" s="60"/>
      <c r="E99" s="60"/>
      <c r="F99" s="60"/>
      <c r="G99" s="60"/>
      <c r="H99" s="60"/>
      <c r="I99" s="60"/>
      <c r="J99" s="60"/>
      <c r="K99" s="60"/>
      <c r="L99" s="60"/>
      <c r="M99" s="60"/>
    </row>
    <row r="100" spans="1:13" x14ac:dyDescent="0.2">
      <c r="A100" s="60"/>
      <c r="B100" s="60"/>
      <c r="C100" s="60"/>
      <c r="D100" s="60"/>
      <c r="E100" s="60"/>
      <c r="F100" s="60"/>
      <c r="G100" s="60"/>
      <c r="H100" s="60"/>
      <c r="I100" s="60"/>
      <c r="J100" s="60"/>
      <c r="K100" s="60"/>
      <c r="L100" s="60"/>
      <c r="M100" s="60"/>
    </row>
    <row r="101" spans="1:13" x14ac:dyDescent="0.2">
      <c r="A101" s="60"/>
      <c r="B101" s="60"/>
      <c r="C101" s="60"/>
      <c r="D101" s="60"/>
      <c r="E101" s="60"/>
      <c r="F101" s="60"/>
      <c r="G101" s="60"/>
      <c r="H101" s="60"/>
      <c r="I101" s="60"/>
      <c r="J101" s="60"/>
      <c r="K101" s="60"/>
      <c r="L101" s="60"/>
      <c r="M101" s="60"/>
    </row>
    <row r="102" spans="1:13" x14ac:dyDescent="0.2">
      <c r="A102" s="60"/>
      <c r="B102" s="60"/>
      <c r="C102" s="60"/>
      <c r="D102" s="60"/>
      <c r="E102" s="60"/>
      <c r="F102" s="60"/>
      <c r="G102" s="60"/>
      <c r="H102" s="60"/>
      <c r="I102" s="60"/>
      <c r="J102" s="60"/>
      <c r="K102" s="60"/>
      <c r="L102" s="60"/>
      <c r="M102" s="60"/>
    </row>
    <row r="103" spans="1:13" x14ac:dyDescent="0.2">
      <c r="A103" s="60"/>
      <c r="B103" s="60"/>
      <c r="C103" s="60"/>
      <c r="D103" s="60"/>
      <c r="E103" s="60"/>
      <c r="F103" s="60"/>
      <c r="G103" s="60"/>
      <c r="H103" s="60"/>
      <c r="I103" s="60"/>
      <c r="J103" s="60"/>
      <c r="K103" s="60"/>
      <c r="L103" s="60"/>
      <c r="M103" s="60"/>
    </row>
    <row r="104" spans="1:13" x14ac:dyDescent="0.2">
      <c r="A104" s="60"/>
      <c r="B104" s="60"/>
      <c r="C104" s="60"/>
      <c r="D104" s="60"/>
      <c r="E104" s="60"/>
      <c r="F104" s="60"/>
      <c r="G104" s="60"/>
      <c r="H104" s="60"/>
      <c r="I104" s="60"/>
      <c r="J104" s="60"/>
      <c r="K104" s="60"/>
      <c r="L104" s="60"/>
      <c r="M104" s="60"/>
    </row>
    <row r="105" spans="1:13" x14ac:dyDescent="0.2">
      <c r="A105" s="60"/>
      <c r="B105" s="60"/>
      <c r="C105" s="60"/>
      <c r="D105" s="60"/>
      <c r="E105" s="60"/>
      <c r="F105" s="60"/>
      <c r="G105" s="60"/>
      <c r="H105" s="60"/>
      <c r="I105" s="60"/>
      <c r="J105" s="60"/>
      <c r="K105" s="60"/>
      <c r="L105" s="60"/>
      <c r="M105" s="60"/>
    </row>
    <row r="106" spans="1:13" x14ac:dyDescent="0.2">
      <c r="A106" s="60"/>
      <c r="B106" s="60"/>
      <c r="C106" s="60"/>
      <c r="D106" s="60"/>
      <c r="E106" s="60"/>
      <c r="F106" s="60"/>
      <c r="G106" s="60"/>
      <c r="H106" s="60"/>
      <c r="I106" s="60"/>
      <c r="J106" s="60"/>
      <c r="K106" s="60"/>
      <c r="L106" s="60"/>
      <c r="M106" s="60"/>
    </row>
    <row r="107" spans="1:13" x14ac:dyDescent="0.2">
      <c r="A107" s="60"/>
      <c r="B107" s="60"/>
      <c r="C107" s="60"/>
      <c r="D107" s="60"/>
      <c r="E107" s="60"/>
      <c r="F107" s="60"/>
      <c r="G107" s="60"/>
      <c r="H107" s="60"/>
      <c r="I107" s="60"/>
      <c r="J107" s="60"/>
      <c r="K107" s="60"/>
      <c r="L107" s="60"/>
      <c r="M107" s="60"/>
    </row>
    <row r="108" spans="1:13" x14ac:dyDescent="0.2">
      <c r="A108" s="60"/>
      <c r="B108" s="60"/>
      <c r="C108" s="60"/>
      <c r="D108" s="60"/>
      <c r="E108" s="60"/>
      <c r="F108" s="60"/>
      <c r="G108" s="60"/>
      <c r="H108" s="60"/>
      <c r="I108" s="60"/>
      <c r="J108" s="60"/>
      <c r="K108" s="60"/>
      <c r="L108" s="60"/>
      <c r="M108" s="60"/>
    </row>
    <row r="109" spans="1:13" x14ac:dyDescent="0.2">
      <c r="A109" s="60"/>
      <c r="B109" s="60"/>
      <c r="C109" s="60"/>
      <c r="D109" s="60"/>
      <c r="E109" s="60"/>
      <c r="F109" s="60"/>
      <c r="G109" s="60"/>
      <c r="H109" s="60"/>
      <c r="I109" s="60"/>
      <c r="J109" s="60"/>
      <c r="K109" s="60"/>
      <c r="L109" s="60"/>
      <c r="M109" s="60"/>
    </row>
    <row r="110" spans="1:13" x14ac:dyDescent="0.2">
      <c r="A110" s="60"/>
      <c r="B110" s="60"/>
      <c r="C110" s="60"/>
      <c r="D110" s="60"/>
      <c r="E110" s="60"/>
      <c r="F110" s="60"/>
      <c r="G110" s="60"/>
      <c r="H110" s="60"/>
      <c r="I110" s="60"/>
      <c r="J110" s="60"/>
      <c r="K110" s="60"/>
      <c r="L110" s="60"/>
      <c r="M110" s="60"/>
    </row>
    <row r="111" spans="1:13" x14ac:dyDescent="0.2">
      <c r="A111" s="60"/>
      <c r="B111" s="60"/>
      <c r="C111" s="60"/>
      <c r="D111" s="60"/>
      <c r="E111" s="60"/>
      <c r="F111" s="60"/>
      <c r="G111" s="60"/>
      <c r="H111" s="60"/>
      <c r="I111" s="60"/>
      <c r="J111" s="60"/>
      <c r="K111" s="60"/>
      <c r="L111" s="60"/>
      <c r="M111" s="60"/>
    </row>
    <row r="112" spans="1:13" x14ac:dyDescent="0.2">
      <c r="A112" s="60"/>
      <c r="B112" s="60"/>
      <c r="C112" s="60"/>
      <c r="D112" s="60"/>
      <c r="E112" s="60"/>
      <c r="F112" s="60"/>
      <c r="G112" s="60"/>
      <c r="H112" s="60"/>
      <c r="I112" s="60"/>
      <c r="J112" s="60"/>
      <c r="K112" s="60"/>
      <c r="L112" s="60"/>
      <c r="M112" s="60"/>
    </row>
    <row r="113" spans="1:13" x14ac:dyDescent="0.2">
      <c r="A113" s="60"/>
      <c r="B113" s="60"/>
      <c r="C113" s="60"/>
      <c r="D113" s="60"/>
      <c r="E113" s="60"/>
      <c r="F113" s="60"/>
      <c r="G113" s="60"/>
      <c r="H113" s="60"/>
      <c r="I113" s="60"/>
      <c r="J113" s="60"/>
      <c r="K113" s="60"/>
      <c r="L113" s="60"/>
      <c r="M113" s="60"/>
    </row>
    <row r="114" spans="1:13" x14ac:dyDescent="0.2">
      <c r="A114" s="60"/>
      <c r="B114" s="60"/>
      <c r="C114" s="60"/>
      <c r="D114" s="60"/>
      <c r="E114" s="60"/>
      <c r="F114" s="60"/>
      <c r="G114" s="60"/>
      <c r="H114" s="60"/>
      <c r="I114" s="60"/>
      <c r="J114" s="60"/>
      <c r="K114" s="60"/>
      <c r="L114" s="60"/>
      <c r="M114" s="60"/>
    </row>
    <row r="115" spans="1:13" x14ac:dyDescent="0.2">
      <c r="A115" s="60"/>
      <c r="B115" s="60"/>
      <c r="C115" s="60"/>
      <c r="D115" s="60"/>
      <c r="E115" s="60"/>
      <c r="F115" s="60"/>
      <c r="G115" s="60"/>
      <c r="H115" s="60"/>
      <c r="I115" s="60"/>
      <c r="J115" s="60"/>
      <c r="K115" s="60"/>
      <c r="L115" s="60"/>
      <c r="M115" s="60"/>
    </row>
    <row r="116" spans="1:13" x14ac:dyDescent="0.2">
      <c r="A116" s="60"/>
      <c r="B116" s="60"/>
      <c r="C116" s="60"/>
      <c r="D116" s="60"/>
      <c r="E116" s="60"/>
      <c r="F116" s="60"/>
      <c r="G116" s="60"/>
      <c r="H116" s="60"/>
      <c r="I116" s="60"/>
      <c r="J116" s="60"/>
      <c r="K116" s="60"/>
      <c r="L116" s="60"/>
      <c r="M116" s="60"/>
    </row>
    <row r="117" spans="1:13" x14ac:dyDescent="0.2">
      <c r="A117" s="60"/>
      <c r="B117" s="60"/>
      <c r="C117" s="60"/>
      <c r="D117" s="60"/>
      <c r="E117" s="60"/>
      <c r="F117" s="60"/>
      <c r="G117" s="60"/>
      <c r="H117" s="60"/>
      <c r="I117" s="60"/>
      <c r="J117" s="60"/>
      <c r="K117" s="60"/>
      <c r="L117" s="60"/>
      <c r="M117" s="60"/>
    </row>
    <row r="118" spans="1:13" x14ac:dyDescent="0.2">
      <c r="A118" s="60"/>
      <c r="B118" s="60"/>
      <c r="C118" s="60"/>
      <c r="D118" s="60"/>
      <c r="E118" s="60"/>
      <c r="F118" s="60"/>
      <c r="G118" s="60"/>
      <c r="H118" s="60"/>
      <c r="I118" s="60"/>
      <c r="J118" s="60"/>
      <c r="K118" s="60"/>
      <c r="L118" s="60"/>
      <c r="M118" s="60"/>
    </row>
    <row r="119" spans="1:13" x14ac:dyDescent="0.2">
      <c r="A119" s="60"/>
      <c r="B119" s="60"/>
      <c r="C119" s="60"/>
      <c r="D119" s="60"/>
      <c r="E119" s="60"/>
      <c r="F119" s="60"/>
      <c r="G119" s="60"/>
      <c r="H119" s="60"/>
      <c r="I119" s="60"/>
      <c r="J119" s="60"/>
      <c r="K119" s="60"/>
      <c r="L119" s="60"/>
      <c r="M119" s="60"/>
    </row>
    <row r="120" spans="1:13" x14ac:dyDescent="0.2">
      <c r="A120" s="60"/>
      <c r="B120" s="60"/>
      <c r="C120" s="60"/>
      <c r="D120" s="60"/>
      <c r="E120" s="60"/>
      <c r="F120" s="60"/>
      <c r="G120" s="60"/>
      <c r="H120" s="60"/>
      <c r="I120" s="60"/>
      <c r="J120" s="60"/>
      <c r="K120" s="60"/>
      <c r="L120" s="60"/>
      <c r="M120" s="60"/>
    </row>
    <row r="121" spans="1:13" x14ac:dyDescent="0.2">
      <c r="A121" s="60"/>
      <c r="B121" s="60"/>
      <c r="C121" s="60"/>
      <c r="D121" s="60"/>
      <c r="E121" s="60"/>
      <c r="F121" s="60"/>
      <c r="G121" s="60"/>
      <c r="H121" s="60"/>
      <c r="I121" s="60"/>
      <c r="J121" s="60"/>
      <c r="K121" s="60"/>
      <c r="L121" s="60"/>
      <c r="M121" s="6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U102"/>
  <sheetViews>
    <sheetView topLeftCell="A58" workbookViewId="0">
      <selection activeCell="F41" sqref="F41"/>
    </sheetView>
  </sheetViews>
  <sheetFormatPr defaultRowHeight="11.25" x14ac:dyDescent="0.2"/>
  <cols>
    <col min="1" max="1" width="6" style="60" customWidth="1"/>
    <col min="2" max="2" width="17.85546875" style="60" customWidth="1"/>
    <col min="3" max="4" width="9.85546875" style="60" customWidth="1"/>
    <col min="5" max="5" width="11.28515625" style="60" customWidth="1"/>
    <col min="6" max="7" width="9.5703125" style="60" customWidth="1"/>
    <col min="8" max="8" width="9.85546875" style="60" customWidth="1"/>
    <col min="9" max="9" width="10.42578125" style="60" customWidth="1"/>
    <col min="10" max="10" width="10.7109375" style="60" customWidth="1"/>
    <col min="11" max="13" width="9.140625" style="60"/>
    <col min="14" max="14" width="11.28515625" style="60" bestFit="1" customWidth="1"/>
    <col min="15" max="15" width="10.7109375" style="60" bestFit="1" customWidth="1"/>
    <col min="16" max="16" width="12.28515625" style="60" hidden="1" customWidth="1"/>
    <col min="17" max="17" width="9.85546875" style="60" hidden="1" customWidth="1"/>
    <col min="18" max="18" width="15.140625" style="60" hidden="1" customWidth="1"/>
    <col min="19" max="21" width="0" style="60" hidden="1" customWidth="1"/>
    <col min="22" max="256" width="9.140625" style="60"/>
    <col min="257" max="257" width="6" style="60" customWidth="1"/>
    <col min="258" max="258" width="17.85546875" style="60" customWidth="1"/>
    <col min="259" max="260" width="9.85546875" style="60" customWidth="1"/>
    <col min="261" max="261" width="11.28515625" style="60" customWidth="1"/>
    <col min="262" max="263" width="9.5703125" style="60" customWidth="1"/>
    <col min="264" max="264" width="9.85546875" style="60" customWidth="1"/>
    <col min="265" max="265" width="10.42578125" style="60" customWidth="1"/>
    <col min="266" max="266" width="10.7109375" style="60" customWidth="1"/>
    <col min="267" max="269" width="9.140625" style="60"/>
    <col min="270" max="270" width="11.28515625" style="60" bestFit="1" customWidth="1"/>
    <col min="271" max="271" width="10.7109375" style="60" bestFit="1" customWidth="1"/>
    <col min="272" max="277" width="0" style="60" hidden="1" customWidth="1"/>
    <col min="278" max="512" width="9.140625" style="60"/>
    <col min="513" max="513" width="6" style="60" customWidth="1"/>
    <col min="514" max="514" width="17.85546875" style="60" customWidth="1"/>
    <col min="515" max="516" width="9.85546875" style="60" customWidth="1"/>
    <col min="517" max="517" width="11.28515625" style="60" customWidth="1"/>
    <col min="518" max="519" width="9.5703125" style="60" customWidth="1"/>
    <col min="520" max="520" width="9.85546875" style="60" customWidth="1"/>
    <col min="521" max="521" width="10.42578125" style="60" customWidth="1"/>
    <col min="522" max="522" width="10.7109375" style="60" customWidth="1"/>
    <col min="523" max="525" width="9.140625" style="60"/>
    <col min="526" max="526" width="11.28515625" style="60" bestFit="1" customWidth="1"/>
    <col min="527" max="527" width="10.7109375" style="60" bestFit="1" customWidth="1"/>
    <col min="528" max="533" width="0" style="60" hidden="1" customWidth="1"/>
    <col min="534" max="768" width="9.140625" style="60"/>
    <col min="769" max="769" width="6" style="60" customWidth="1"/>
    <col min="770" max="770" width="17.85546875" style="60" customWidth="1"/>
    <col min="771" max="772" width="9.85546875" style="60" customWidth="1"/>
    <col min="773" max="773" width="11.28515625" style="60" customWidth="1"/>
    <col min="774" max="775" width="9.5703125" style="60" customWidth="1"/>
    <col min="776" max="776" width="9.85546875" style="60" customWidth="1"/>
    <col min="777" max="777" width="10.42578125" style="60" customWidth="1"/>
    <col min="778" max="778" width="10.7109375" style="60" customWidth="1"/>
    <col min="779" max="781" width="9.140625" style="60"/>
    <col min="782" max="782" width="11.28515625" style="60" bestFit="1" customWidth="1"/>
    <col min="783" max="783" width="10.7109375" style="60" bestFit="1" customWidth="1"/>
    <col min="784" max="789" width="0" style="60" hidden="1" customWidth="1"/>
    <col min="790" max="1024" width="9.140625" style="60"/>
    <col min="1025" max="1025" width="6" style="60" customWidth="1"/>
    <col min="1026" max="1026" width="17.85546875" style="60" customWidth="1"/>
    <col min="1027" max="1028" width="9.85546875" style="60" customWidth="1"/>
    <col min="1029" max="1029" width="11.28515625" style="60" customWidth="1"/>
    <col min="1030" max="1031" width="9.5703125" style="60" customWidth="1"/>
    <col min="1032" max="1032" width="9.85546875" style="60" customWidth="1"/>
    <col min="1033" max="1033" width="10.42578125" style="60" customWidth="1"/>
    <col min="1034" max="1034" width="10.7109375" style="60" customWidth="1"/>
    <col min="1035" max="1037" width="9.140625" style="60"/>
    <col min="1038" max="1038" width="11.28515625" style="60" bestFit="1" customWidth="1"/>
    <col min="1039" max="1039" width="10.7109375" style="60" bestFit="1" customWidth="1"/>
    <col min="1040" max="1045" width="0" style="60" hidden="1" customWidth="1"/>
    <col min="1046" max="1280" width="9.140625" style="60"/>
    <col min="1281" max="1281" width="6" style="60" customWidth="1"/>
    <col min="1282" max="1282" width="17.85546875" style="60" customWidth="1"/>
    <col min="1283" max="1284" width="9.85546875" style="60" customWidth="1"/>
    <col min="1285" max="1285" width="11.28515625" style="60" customWidth="1"/>
    <col min="1286" max="1287" width="9.5703125" style="60" customWidth="1"/>
    <col min="1288" max="1288" width="9.85546875" style="60" customWidth="1"/>
    <col min="1289" max="1289" width="10.42578125" style="60" customWidth="1"/>
    <col min="1290" max="1290" width="10.7109375" style="60" customWidth="1"/>
    <col min="1291" max="1293" width="9.140625" style="60"/>
    <col min="1294" max="1294" width="11.28515625" style="60" bestFit="1" customWidth="1"/>
    <col min="1295" max="1295" width="10.7109375" style="60" bestFit="1" customWidth="1"/>
    <col min="1296" max="1301" width="0" style="60" hidden="1" customWidth="1"/>
    <col min="1302" max="1536" width="9.140625" style="60"/>
    <col min="1537" max="1537" width="6" style="60" customWidth="1"/>
    <col min="1538" max="1538" width="17.85546875" style="60" customWidth="1"/>
    <col min="1539" max="1540" width="9.85546875" style="60" customWidth="1"/>
    <col min="1541" max="1541" width="11.28515625" style="60" customWidth="1"/>
    <col min="1542" max="1543" width="9.5703125" style="60" customWidth="1"/>
    <col min="1544" max="1544" width="9.85546875" style="60" customWidth="1"/>
    <col min="1545" max="1545" width="10.42578125" style="60" customWidth="1"/>
    <col min="1546" max="1546" width="10.7109375" style="60" customWidth="1"/>
    <col min="1547" max="1549" width="9.140625" style="60"/>
    <col min="1550" max="1550" width="11.28515625" style="60" bestFit="1" customWidth="1"/>
    <col min="1551" max="1551" width="10.7109375" style="60" bestFit="1" customWidth="1"/>
    <col min="1552" max="1557" width="0" style="60" hidden="1" customWidth="1"/>
    <col min="1558" max="1792" width="9.140625" style="60"/>
    <col min="1793" max="1793" width="6" style="60" customWidth="1"/>
    <col min="1794" max="1794" width="17.85546875" style="60" customWidth="1"/>
    <col min="1795" max="1796" width="9.85546875" style="60" customWidth="1"/>
    <col min="1797" max="1797" width="11.28515625" style="60" customWidth="1"/>
    <col min="1798" max="1799" width="9.5703125" style="60" customWidth="1"/>
    <col min="1800" max="1800" width="9.85546875" style="60" customWidth="1"/>
    <col min="1801" max="1801" width="10.42578125" style="60" customWidth="1"/>
    <col min="1802" max="1802" width="10.7109375" style="60" customWidth="1"/>
    <col min="1803" max="1805" width="9.140625" style="60"/>
    <col min="1806" max="1806" width="11.28515625" style="60" bestFit="1" customWidth="1"/>
    <col min="1807" max="1807" width="10.7109375" style="60" bestFit="1" customWidth="1"/>
    <col min="1808" max="1813" width="0" style="60" hidden="1" customWidth="1"/>
    <col min="1814" max="2048" width="9.140625" style="60"/>
    <col min="2049" max="2049" width="6" style="60" customWidth="1"/>
    <col min="2050" max="2050" width="17.85546875" style="60" customWidth="1"/>
    <col min="2051" max="2052" width="9.85546875" style="60" customWidth="1"/>
    <col min="2053" max="2053" width="11.28515625" style="60" customWidth="1"/>
    <col min="2054" max="2055" width="9.5703125" style="60" customWidth="1"/>
    <col min="2056" max="2056" width="9.85546875" style="60" customWidth="1"/>
    <col min="2057" max="2057" width="10.42578125" style="60" customWidth="1"/>
    <col min="2058" max="2058" width="10.7109375" style="60" customWidth="1"/>
    <col min="2059" max="2061" width="9.140625" style="60"/>
    <col min="2062" max="2062" width="11.28515625" style="60" bestFit="1" customWidth="1"/>
    <col min="2063" max="2063" width="10.7109375" style="60" bestFit="1" customWidth="1"/>
    <col min="2064" max="2069" width="0" style="60" hidden="1" customWidth="1"/>
    <col min="2070" max="2304" width="9.140625" style="60"/>
    <col min="2305" max="2305" width="6" style="60" customWidth="1"/>
    <col min="2306" max="2306" width="17.85546875" style="60" customWidth="1"/>
    <col min="2307" max="2308" width="9.85546875" style="60" customWidth="1"/>
    <col min="2309" max="2309" width="11.28515625" style="60" customWidth="1"/>
    <col min="2310" max="2311" width="9.5703125" style="60" customWidth="1"/>
    <col min="2312" max="2312" width="9.85546875" style="60" customWidth="1"/>
    <col min="2313" max="2313" width="10.42578125" style="60" customWidth="1"/>
    <col min="2314" max="2314" width="10.7109375" style="60" customWidth="1"/>
    <col min="2315" max="2317" width="9.140625" style="60"/>
    <col min="2318" max="2318" width="11.28515625" style="60" bestFit="1" customWidth="1"/>
    <col min="2319" max="2319" width="10.7109375" style="60" bestFit="1" customWidth="1"/>
    <col min="2320" max="2325" width="0" style="60" hidden="1" customWidth="1"/>
    <col min="2326" max="2560" width="9.140625" style="60"/>
    <col min="2561" max="2561" width="6" style="60" customWidth="1"/>
    <col min="2562" max="2562" width="17.85546875" style="60" customWidth="1"/>
    <col min="2563" max="2564" width="9.85546875" style="60" customWidth="1"/>
    <col min="2565" max="2565" width="11.28515625" style="60" customWidth="1"/>
    <col min="2566" max="2567" width="9.5703125" style="60" customWidth="1"/>
    <col min="2568" max="2568" width="9.85546875" style="60" customWidth="1"/>
    <col min="2569" max="2569" width="10.42578125" style="60" customWidth="1"/>
    <col min="2570" max="2570" width="10.7109375" style="60" customWidth="1"/>
    <col min="2571" max="2573" width="9.140625" style="60"/>
    <col min="2574" max="2574" width="11.28515625" style="60" bestFit="1" customWidth="1"/>
    <col min="2575" max="2575" width="10.7109375" style="60" bestFit="1" customWidth="1"/>
    <col min="2576" max="2581" width="0" style="60" hidden="1" customWidth="1"/>
    <col min="2582" max="2816" width="9.140625" style="60"/>
    <col min="2817" max="2817" width="6" style="60" customWidth="1"/>
    <col min="2818" max="2818" width="17.85546875" style="60" customWidth="1"/>
    <col min="2819" max="2820" width="9.85546875" style="60" customWidth="1"/>
    <col min="2821" max="2821" width="11.28515625" style="60" customWidth="1"/>
    <col min="2822" max="2823" width="9.5703125" style="60" customWidth="1"/>
    <col min="2824" max="2824" width="9.85546875" style="60" customWidth="1"/>
    <col min="2825" max="2825" width="10.42578125" style="60" customWidth="1"/>
    <col min="2826" max="2826" width="10.7109375" style="60" customWidth="1"/>
    <col min="2827" max="2829" width="9.140625" style="60"/>
    <col min="2830" max="2830" width="11.28515625" style="60" bestFit="1" customWidth="1"/>
    <col min="2831" max="2831" width="10.7109375" style="60" bestFit="1" customWidth="1"/>
    <col min="2832" max="2837" width="0" style="60" hidden="1" customWidth="1"/>
    <col min="2838" max="3072" width="9.140625" style="60"/>
    <col min="3073" max="3073" width="6" style="60" customWidth="1"/>
    <col min="3074" max="3074" width="17.85546875" style="60" customWidth="1"/>
    <col min="3075" max="3076" width="9.85546875" style="60" customWidth="1"/>
    <col min="3077" max="3077" width="11.28515625" style="60" customWidth="1"/>
    <col min="3078" max="3079" width="9.5703125" style="60" customWidth="1"/>
    <col min="3080" max="3080" width="9.85546875" style="60" customWidth="1"/>
    <col min="3081" max="3081" width="10.42578125" style="60" customWidth="1"/>
    <col min="3082" max="3082" width="10.7109375" style="60" customWidth="1"/>
    <col min="3083" max="3085" width="9.140625" style="60"/>
    <col min="3086" max="3086" width="11.28515625" style="60" bestFit="1" customWidth="1"/>
    <col min="3087" max="3087" width="10.7109375" style="60" bestFit="1" customWidth="1"/>
    <col min="3088" max="3093" width="0" style="60" hidden="1" customWidth="1"/>
    <col min="3094" max="3328" width="9.140625" style="60"/>
    <col min="3329" max="3329" width="6" style="60" customWidth="1"/>
    <col min="3330" max="3330" width="17.85546875" style="60" customWidth="1"/>
    <col min="3331" max="3332" width="9.85546875" style="60" customWidth="1"/>
    <col min="3333" max="3333" width="11.28515625" style="60" customWidth="1"/>
    <col min="3334" max="3335" width="9.5703125" style="60" customWidth="1"/>
    <col min="3336" max="3336" width="9.85546875" style="60" customWidth="1"/>
    <col min="3337" max="3337" width="10.42578125" style="60" customWidth="1"/>
    <col min="3338" max="3338" width="10.7109375" style="60" customWidth="1"/>
    <col min="3339" max="3341" width="9.140625" style="60"/>
    <col min="3342" max="3342" width="11.28515625" style="60" bestFit="1" customWidth="1"/>
    <col min="3343" max="3343" width="10.7109375" style="60" bestFit="1" customWidth="1"/>
    <col min="3344" max="3349" width="0" style="60" hidden="1" customWidth="1"/>
    <col min="3350" max="3584" width="9.140625" style="60"/>
    <col min="3585" max="3585" width="6" style="60" customWidth="1"/>
    <col min="3586" max="3586" width="17.85546875" style="60" customWidth="1"/>
    <col min="3587" max="3588" width="9.85546875" style="60" customWidth="1"/>
    <col min="3589" max="3589" width="11.28515625" style="60" customWidth="1"/>
    <col min="3590" max="3591" width="9.5703125" style="60" customWidth="1"/>
    <col min="3592" max="3592" width="9.85546875" style="60" customWidth="1"/>
    <col min="3593" max="3593" width="10.42578125" style="60" customWidth="1"/>
    <col min="3594" max="3594" width="10.7109375" style="60" customWidth="1"/>
    <col min="3595" max="3597" width="9.140625" style="60"/>
    <col min="3598" max="3598" width="11.28515625" style="60" bestFit="1" customWidth="1"/>
    <col min="3599" max="3599" width="10.7109375" style="60" bestFit="1" customWidth="1"/>
    <col min="3600" max="3605" width="0" style="60" hidden="1" customWidth="1"/>
    <col min="3606" max="3840" width="9.140625" style="60"/>
    <col min="3841" max="3841" width="6" style="60" customWidth="1"/>
    <col min="3842" max="3842" width="17.85546875" style="60" customWidth="1"/>
    <col min="3843" max="3844" width="9.85546875" style="60" customWidth="1"/>
    <col min="3845" max="3845" width="11.28515625" style="60" customWidth="1"/>
    <col min="3846" max="3847" width="9.5703125" style="60" customWidth="1"/>
    <col min="3848" max="3848" width="9.85546875" style="60" customWidth="1"/>
    <col min="3849" max="3849" width="10.42578125" style="60" customWidth="1"/>
    <col min="3850" max="3850" width="10.7109375" style="60" customWidth="1"/>
    <col min="3851" max="3853" width="9.140625" style="60"/>
    <col min="3854" max="3854" width="11.28515625" style="60" bestFit="1" customWidth="1"/>
    <col min="3855" max="3855" width="10.7109375" style="60" bestFit="1" customWidth="1"/>
    <col min="3856" max="3861" width="0" style="60" hidden="1" customWidth="1"/>
    <col min="3862" max="4096" width="9.140625" style="60"/>
    <col min="4097" max="4097" width="6" style="60" customWidth="1"/>
    <col min="4098" max="4098" width="17.85546875" style="60" customWidth="1"/>
    <col min="4099" max="4100" width="9.85546875" style="60" customWidth="1"/>
    <col min="4101" max="4101" width="11.28515625" style="60" customWidth="1"/>
    <col min="4102" max="4103" width="9.5703125" style="60" customWidth="1"/>
    <col min="4104" max="4104" width="9.85546875" style="60" customWidth="1"/>
    <col min="4105" max="4105" width="10.42578125" style="60" customWidth="1"/>
    <col min="4106" max="4106" width="10.7109375" style="60" customWidth="1"/>
    <col min="4107" max="4109" width="9.140625" style="60"/>
    <col min="4110" max="4110" width="11.28515625" style="60" bestFit="1" customWidth="1"/>
    <col min="4111" max="4111" width="10.7109375" style="60" bestFit="1" customWidth="1"/>
    <col min="4112" max="4117" width="0" style="60" hidden="1" customWidth="1"/>
    <col min="4118" max="4352" width="9.140625" style="60"/>
    <col min="4353" max="4353" width="6" style="60" customWidth="1"/>
    <col min="4354" max="4354" width="17.85546875" style="60" customWidth="1"/>
    <col min="4355" max="4356" width="9.85546875" style="60" customWidth="1"/>
    <col min="4357" max="4357" width="11.28515625" style="60" customWidth="1"/>
    <col min="4358" max="4359" width="9.5703125" style="60" customWidth="1"/>
    <col min="4360" max="4360" width="9.85546875" style="60" customWidth="1"/>
    <col min="4361" max="4361" width="10.42578125" style="60" customWidth="1"/>
    <col min="4362" max="4362" width="10.7109375" style="60" customWidth="1"/>
    <col min="4363" max="4365" width="9.140625" style="60"/>
    <col min="4366" max="4366" width="11.28515625" style="60" bestFit="1" customWidth="1"/>
    <col min="4367" max="4367" width="10.7109375" style="60" bestFit="1" customWidth="1"/>
    <col min="4368" max="4373" width="0" style="60" hidden="1" customWidth="1"/>
    <col min="4374" max="4608" width="9.140625" style="60"/>
    <col min="4609" max="4609" width="6" style="60" customWidth="1"/>
    <col min="4610" max="4610" width="17.85546875" style="60" customWidth="1"/>
    <col min="4611" max="4612" width="9.85546875" style="60" customWidth="1"/>
    <col min="4613" max="4613" width="11.28515625" style="60" customWidth="1"/>
    <col min="4614" max="4615" width="9.5703125" style="60" customWidth="1"/>
    <col min="4616" max="4616" width="9.85546875" style="60" customWidth="1"/>
    <col min="4617" max="4617" width="10.42578125" style="60" customWidth="1"/>
    <col min="4618" max="4618" width="10.7109375" style="60" customWidth="1"/>
    <col min="4619" max="4621" width="9.140625" style="60"/>
    <col min="4622" max="4622" width="11.28515625" style="60" bestFit="1" customWidth="1"/>
    <col min="4623" max="4623" width="10.7109375" style="60" bestFit="1" customWidth="1"/>
    <col min="4624" max="4629" width="0" style="60" hidden="1" customWidth="1"/>
    <col min="4630" max="4864" width="9.140625" style="60"/>
    <col min="4865" max="4865" width="6" style="60" customWidth="1"/>
    <col min="4866" max="4866" width="17.85546875" style="60" customWidth="1"/>
    <col min="4867" max="4868" width="9.85546875" style="60" customWidth="1"/>
    <col min="4869" max="4869" width="11.28515625" style="60" customWidth="1"/>
    <col min="4870" max="4871" width="9.5703125" style="60" customWidth="1"/>
    <col min="4872" max="4872" width="9.85546875" style="60" customWidth="1"/>
    <col min="4873" max="4873" width="10.42578125" style="60" customWidth="1"/>
    <col min="4874" max="4874" width="10.7109375" style="60" customWidth="1"/>
    <col min="4875" max="4877" width="9.140625" style="60"/>
    <col min="4878" max="4878" width="11.28515625" style="60" bestFit="1" customWidth="1"/>
    <col min="4879" max="4879" width="10.7109375" style="60" bestFit="1" customWidth="1"/>
    <col min="4880" max="4885" width="0" style="60" hidden="1" customWidth="1"/>
    <col min="4886" max="5120" width="9.140625" style="60"/>
    <col min="5121" max="5121" width="6" style="60" customWidth="1"/>
    <col min="5122" max="5122" width="17.85546875" style="60" customWidth="1"/>
    <col min="5123" max="5124" width="9.85546875" style="60" customWidth="1"/>
    <col min="5125" max="5125" width="11.28515625" style="60" customWidth="1"/>
    <col min="5126" max="5127" width="9.5703125" style="60" customWidth="1"/>
    <col min="5128" max="5128" width="9.85546875" style="60" customWidth="1"/>
    <col min="5129" max="5129" width="10.42578125" style="60" customWidth="1"/>
    <col min="5130" max="5130" width="10.7109375" style="60" customWidth="1"/>
    <col min="5131" max="5133" width="9.140625" style="60"/>
    <col min="5134" max="5134" width="11.28515625" style="60" bestFit="1" customWidth="1"/>
    <col min="5135" max="5135" width="10.7109375" style="60" bestFit="1" customWidth="1"/>
    <col min="5136" max="5141" width="0" style="60" hidden="1" customWidth="1"/>
    <col min="5142" max="5376" width="9.140625" style="60"/>
    <col min="5377" max="5377" width="6" style="60" customWidth="1"/>
    <col min="5378" max="5378" width="17.85546875" style="60" customWidth="1"/>
    <col min="5379" max="5380" width="9.85546875" style="60" customWidth="1"/>
    <col min="5381" max="5381" width="11.28515625" style="60" customWidth="1"/>
    <col min="5382" max="5383" width="9.5703125" style="60" customWidth="1"/>
    <col min="5384" max="5384" width="9.85546875" style="60" customWidth="1"/>
    <col min="5385" max="5385" width="10.42578125" style="60" customWidth="1"/>
    <col min="5386" max="5386" width="10.7109375" style="60" customWidth="1"/>
    <col min="5387" max="5389" width="9.140625" style="60"/>
    <col min="5390" max="5390" width="11.28515625" style="60" bestFit="1" customWidth="1"/>
    <col min="5391" max="5391" width="10.7109375" style="60" bestFit="1" customWidth="1"/>
    <col min="5392" max="5397" width="0" style="60" hidden="1" customWidth="1"/>
    <col min="5398" max="5632" width="9.140625" style="60"/>
    <col min="5633" max="5633" width="6" style="60" customWidth="1"/>
    <col min="5634" max="5634" width="17.85546875" style="60" customWidth="1"/>
    <col min="5635" max="5636" width="9.85546875" style="60" customWidth="1"/>
    <col min="5637" max="5637" width="11.28515625" style="60" customWidth="1"/>
    <col min="5638" max="5639" width="9.5703125" style="60" customWidth="1"/>
    <col min="5640" max="5640" width="9.85546875" style="60" customWidth="1"/>
    <col min="5641" max="5641" width="10.42578125" style="60" customWidth="1"/>
    <col min="5642" max="5642" width="10.7109375" style="60" customWidth="1"/>
    <col min="5643" max="5645" width="9.140625" style="60"/>
    <col min="5646" max="5646" width="11.28515625" style="60" bestFit="1" customWidth="1"/>
    <col min="5647" max="5647" width="10.7109375" style="60" bestFit="1" customWidth="1"/>
    <col min="5648" max="5653" width="0" style="60" hidden="1" customWidth="1"/>
    <col min="5654" max="5888" width="9.140625" style="60"/>
    <col min="5889" max="5889" width="6" style="60" customWidth="1"/>
    <col min="5890" max="5890" width="17.85546875" style="60" customWidth="1"/>
    <col min="5891" max="5892" width="9.85546875" style="60" customWidth="1"/>
    <col min="5893" max="5893" width="11.28515625" style="60" customWidth="1"/>
    <col min="5894" max="5895" width="9.5703125" style="60" customWidth="1"/>
    <col min="5896" max="5896" width="9.85546875" style="60" customWidth="1"/>
    <col min="5897" max="5897" width="10.42578125" style="60" customWidth="1"/>
    <col min="5898" max="5898" width="10.7109375" style="60" customWidth="1"/>
    <col min="5899" max="5901" width="9.140625" style="60"/>
    <col min="5902" max="5902" width="11.28515625" style="60" bestFit="1" customWidth="1"/>
    <col min="5903" max="5903" width="10.7109375" style="60" bestFit="1" customWidth="1"/>
    <col min="5904" max="5909" width="0" style="60" hidden="1" customWidth="1"/>
    <col min="5910" max="6144" width="9.140625" style="60"/>
    <col min="6145" max="6145" width="6" style="60" customWidth="1"/>
    <col min="6146" max="6146" width="17.85546875" style="60" customWidth="1"/>
    <col min="6147" max="6148" width="9.85546875" style="60" customWidth="1"/>
    <col min="6149" max="6149" width="11.28515625" style="60" customWidth="1"/>
    <col min="6150" max="6151" width="9.5703125" style="60" customWidth="1"/>
    <col min="6152" max="6152" width="9.85546875" style="60" customWidth="1"/>
    <col min="6153" max="6153" width="10.42578125" style="60" customWidth="1"/>
    <col min="6154" max="6154" width="10.7109375" style="60" customWidth="1"/>
    <col min="6155" max="6157" width="9.140625" style="60"/>
    <col min="6158" max="6158" width="11.28515625" style="60" bestFit="1" customWidth="1"/>
    <col min="6159" max="6159" width="10.7109375" style="60" bestFit="1" customWidth="1"/>
    <col min="6160" max="6165" width="0" style="60" hidden="1" customWidth="1"/>
    <col min="6166" max="6400" width="9.140625" style="60"/>
    <col min="6401" max="6401" width="6" style="60" customWidth="1"/>
    <col min="6402" max="6402" width="17.85546875" style="60" customWidth="1"/>
    <col min="6403" max="6404" width="9.85546875" style="60" customWidth="1"/>
    <col min="6405" max="6405" width="11.28515625" style="60" customWidth="1"/>
    <col min="6406" max="6407" width="9.5703125" style="60" customWidth="1"/>
    <col min="6408" max="6408" width="9.85546875" style="60" customWidth="1"/>
    <col min="6409" max="6409" width="10.42578125" style="60" customWidth="1"/>
    <col min="6410" max="6410" width="10.7109375" style="60" customWidth="1"/>
    <col min="6411" max="6413" width="9.140625" style="60"/>
    <col min="6414" max="6414" width="11.28515625" style="60" bestFit="1" customWidth="1"/>
    <col min="6415" max="6415" width="10.7109375" style="60" bestFit="1" customWidth="1"/>
    <col min="6416" max="6421" width="0" style="60" hidden="1" customWidth="1"/>
    <col min="6422" max="6656" width="9.140625" style="60"/>
    <col min="6657" max="6657" width="6" style="60" customWidth="1"/>
    <col min="6658" max="6658" width="17.85546875" style="60" customWidth="1"/>
    <col min="6659" max="6660" width="9.85546875" style="60" customWidth="1"/>
    <col min="6661" max="6661" width="11.28515625" style="60" customWidth="1"/>
    <col min="6662" max="6663" width="9.5703125" style="60" customWidth="1"/>
    <col min="6664" max="6664" width="9.85546875" style="60" customWidth="1"/>
    <col min="6665" max="6665" width="10.42578125" style="60" customWidth="1"/>
    <col min="6666" max="6666" width="10.7109375" style="60" customWidth="1"/>
    <col min="6667" max="6669" width="9.140625" style="60"/>
    <col min="6670" max="6670" width="11.28515625" style="60" bestFit="1" customWidth="1"/>
    <col min="6671" max="6671" width="10.7109375" style="60" bestFit="1" customWidth="1"/>
    <col min="6672" max="6677" width="0" style="60" hidden="1" customWidth="1"/>
    <col min="6678" max="6912" width="9.140625" style="60"/>
    <col min="6913" max="6913" width="6" style="60" customWidth="1"/>
    <col min="6914" max="6914" width="17.85546875" style="60" customWidth="1"/>
    <col min="6915" max="6916" width="9.85546875" style="60" customWidth="1"/>
    <col min="6917" max="6917" width="11.28515625" style="60" customWidth="1"/>
    <col min="6918" max="6919" width="9.5703125" style="60" customWidth="1"/>
    <col min="6920" max="6920" width="9.85546875" style="60" customWidth="1"/>
    <col min="6921" max="6921" width="10.42578125" style="60" customWidth="1"/>
    <col min="6922" max="6922" width="10.7109375" style="60" customWidth="1"/>
    <col min="6923" max="6925" width="9.140625" style="60"/>
    <col min="6926" max="6926" width="11.28515625" style="60" bestFit="1" customWidth="1"/>
    <col min="6927" max="6927" width="10.7109375" style="60" bestFit="1" customWidth="1"/>
    <col min="6928" max="6933" width="0" style="60" hidden="1" customWidth="1"/>
    <col min="6934" max="7168" width="9.140625" style="60"/>
    <col min="7169" max="7169" width="6" style="60" customWidth="1"/>
    <col min="7170" max="7170" width="17.85546875" style="60" customWidth="1"/>
    <col min="7171" max="7172" width="9.85546875" style="60" customWidth="1"/>
    <col min="7173" max="7173" width="11.28515625" style="60" customWidth="1"/>
    <col min="7174" max="7175" width="9.5703125" style="60" customWidth="1"/>
    <col min="7176" max="7176" width="9.85546875" style="60" customWidth="1"/>
    <col min="7177" max="7177" width="10.42578125" style="60" customWidth="1"/>
    <col min="7178" max="7178" width="10.7109375" style="60" customWidth="1"/>
    <col min="7179" max="7181" width="9.140625" style="60"/>
    <col min="7182" max="7182" width="11.28515625" style="60" bestFit="1" customWidth="1"/>
    <col min="7183" max="7183" width="10.7109375" style="60" bestFit="1" customWidth="1"/>
    <col min="7184" max="7189" width="0" style="60" hidden="1" customWidth="1"/>
    <col min="7190" max="7424" width="9.140625" style="60"/>
    <col min="7425" max="7425" width="6" style="60" customWidth="1"/>
    <col min="7426" max="7426" width="17.85546875" style="60" customWidth="1"/>
    <col min="7427" max="7428" width="9.85546875" style="60" customWidth="1"/>
    <col min="7429" max="7429" width="11.28515625" style="60" customWidth="1"/>
    <col min="7430" max="7431" width="9.5703125" style="60" customWidth="1"/>
    <col min="7432" max="7432" width="9.85546875" style="60" customWidth="1"/>
    <col min="7433" max="7433" width="10.42578125" style="60" customWidth="1"/>
    <col min="7434" max="7434" width="10.7109375" style="60" customWidth="1"/>
    <col min="7435" max="7437" width="9.140625" style="60"/>
    <col min="7438" max="7438" width="11.28515625" style="60" bestFit="1" customWidth="1"/>
    <col min="7439" max="7439" width="10.7109375" style="60" bestFit="1" customWidth="1"/>
    <col min="7440" max="7445" width="0" style="60" hidden="1" customWidth="1"/>
    <col min="7446" max="7680" width="9.140625" style="60"/>
    <col min="7681" max="7681" width="6" style="60" customWidth="1"/>
    <col min="7682" max="7682" width="17.85546875" style="60" customWidth="1"/>
    <col min="7683" max="7684" width="9.85546875" style="60" customWidth="1"/>
    <col min="7685" max="7685" width="11.28515625" style="60" customWidth="1"/>
    <col min="7686" max="7687" width="9.5703125" style="60" customWidth="1"/>
    <col min="7688" max="7688" width="9.85546875" style="60" customWidth="1"/>
    <col min="7689" max="7689" width="10.42578125" style="60" customWidth="1"/>
    <col min="7690" max="7690" width="10.7109375" style="60" customWidth="1"/>
    <col min="7691" max="7693" width="9.140625" style="60"/>
    <col min="7694" max="7694" width="11.28515625" style="60" bestFit="1" customWidth="1"/>
    <col min="7695" max="7695" width="10.7109375" style="60" bestFit="1" customWidth="1"/>
    <col min="7696" max="7701" width="0" style="60" hidden="1" customWidth="1"/>
    <col min="7702" max="7936" width="9.140625" style="60"/>
    <col min="7937" max="7937" width="6" style="60" customWidth="1"/>
    <col min="7938" max="7938" width="17.85546875" style="60" customWidth="1"/>
    <col min="7939" max="7940" width="9.85546875" style="60" customWidth="1"/>
    <col min="7941" max="7941" width="11.28515625" style="60" customWidth="1"/>
    <col min="7942" max="7943" width="9.5703125" style="60" customWidth="1"/>
    <col min="7944" max="7944" width="9.85546875" style="60" customWidth="1"/>
    <col min="7945" max="7945" width="10.42578125" style="60" customWidth="1"/>
    <col min="7946" max="7946" width="10.7109375" style="60" customWidth="1"/>
    <col min="7947" max="7949" width="9.140625" style="60"/>
    <col min="7950" max="7950" width="11.28515625" style="60" bestFit="1" customWidth="1"/>
    <col min="7951" max="7951" width="10.7109375" style="60" bestFit="1" customWidth="1"/>
    <col min="7952" max="7957" width="0" style="60" hidden="1" customWidth="1"/>
    <col min="7958" max="8192" width="9.140625" style="60"/>
    <col min="8193" max="8193" width="6" style="60" customWidth="1"/>
    <col min="8194" max="8194" width="17.85546875" style="60" customWidth="1"/>
    <col min="8195" max="8196" width="9.85546875" style="60" customWidth="1"/>
    <col min="8197" max="8197" width="11.28515625" style="60" customWidth="1"/>
    <col min="8198" max="8199" width="9.5703125" style="60" customWidth="1"/>
    <col min="8200" max="8200" width="9.85546875" style="60" customWidth="1"/>
    <col min="8201" max="8201" width="10.42578125" style="60" customWidth="1"/>
    <col min="8202" max="8202" width="10.7109375" style="60" customWidth="1"/>
    <col min="8203" max="8205" width="9.140625" style="60"/>
    <col min="8206" max="8206" width="11.28515625" style="60" bestFit="1" customWidth="1"/>
    <col min="8207" max="8207" width="10.7109375" style="60" bestFit="1" customWidth="1"/>
    <col min="8208" max="8213" width="0" style="60" hidden="1" customWidth="1"/>
    <col min="8214" max="8448" width="9.140625" style="60"/>
    <col min="8449" max="8449" width="6" style="60" customWidth="1"/>
    <col min="8450" max="8450" width="17.85546875" style="60" customWidth="1"/>
    <col min="8451" max="8452" width="9.85546875" style="60" customWidth="1"/>
    <col min="8453" max="8453" width="11.28515625" style="60" customWidth="1"/>
    <col min="8454" max="8455" width="9.5703125" style="60" customWidth="1"/>
    <col min="8456" max="8456" width="9.85546875" style="60" customWidth="1"/>
    <col min="8457" max="8457" width="10.42578125" style="60" customWidth="1"/>
    <col min="8458" max="8458" width="10.7109375" style="60" customWidth="1"/>
    <col min="8459" max="8461" width="9.140625" style="60"/>
    <col min="8462" max="8462" width="11.28515625" style="60" bestFit="1" customWidth="1"/>
    <col min="8463" max="8463" width="10.7109375" style="60" bestFit="1" customWidth="1"/>
    <col min="8464" max="8469" width="0" style="60" hidden="1" customWidth="1"/>
    <col min="8470" max="8704" width="9.140625" style="60"/>
    <col min="8705" max="8705" width="6" style="60" customWidth="1"/>
    <col min="8706" max="8706" width="17.85546875" style="60" customWidth="1"/>
    <col min="8707" max="8708" width="9.85546875" style="60" customWidth="1"/>
    <col min="8709" max="8709" width="11.28515625" style="60" customWidth="1"/>
    <col min="8710" max="8711" width="9.5703125" style="60" customWidth="1"/>
    <col min="8712" max="8712" width="9.85546875" style="60" customWidth="1"/>
    <col min="8713" max="8713" width="10.42578125" style="60" customWidth="1"/>
    <col min="8714" max="8714" width="10.7109375" style="60" customWidth="1"/>
    <col min="8715" max="8717" width="9.140625" style="60"/>
    <col min="8718" max="8718" width="11.28515625" style="60" bestFit="1" customWidth="1"/>
    <col min="8719" max="8719" width="10.7109375" style="60" bestFit="1" customWidth="1"/>
    <col min="8720" max="8725" width="0" style="60" hidden="1" customWidth="1"/>
    <col min="8726" max="8960" width="9.140625" style="60"/>
    <col min="8961" max="8961" width="6" style="60" customWidth="1"/>
    <col min="8962" max="8962" width="17.85546875" style="60" customWidth="1"/>
    <col min="8963" max="8964" width="9.85546875" style="60" customWidth="1"/>
    <col min="8965" max="8965" width="11.28515625" style="60" customWidth="1"/>
    <col min="8966" max="8967" width="9.5703125" style="60" customWidth="1"/>
    <col min="8968" max="8968" width="9.85546875" style="60" customWidth="1"/>
    <col min="8969" max="8969" width="10.42578125" style="60" customWidth="1"/>
    <col min="8970" max="8970" width="10.7109375" style="60" customWidth="1"/>
    <col min="8971" max="8973" width="9.140625" style="60"/>
    <col min="8974" max="8974" width="11.28515625" style="60" bestFit="1" customWidth="1"/>
    <col min="8975" max="8975" width="10.7109375" style="60" bestFit="1" customWidth="1"/>
    <col min="8976" max="8981" width="0" style="60" hidden="1" customWidth="1"/>
    <col min="8982" max="9216" width="9.140625" style="60"/>
    <col min="9217" max="9217" width="6" style="60" customWidth="1"/>
    <col min="9218" max="9218" width="17.85546875" style="60" customWidth="1"/>
    <col min="9219" max="9220" width="9.85546875" style="60" customWidth="1"/>
    <col min="9221" max="9221" width="11.28515625" style="60" customWidth="1"/>
    <col min="9222" max="9223" width="9.5703125" style="60" customWidth="1"/>
    <col min="9224" max="9224" width="9.85546875" style="60" customWidth="1"/>
    <col min="9225" max="9225" width="10.42578125" style="60" customWidth="1"/>
    <col min="9226" max="9226" width="10.7109375" style="60" customWidth="1"/>
    <col min="9227" max="9229" width="9.140625" style="60"/>
    <col min="9230" max="9230" width="11.28515625" style="60" bestFit="1" customWidth="1"/>
    <col min="9231" max="9231" width="10.7109375" style="60" bestFit="1" customWidth="1"/>
    <col min="9232" max="9237" width="0" style="60" hidden="1" customWidth="1"/>
    <col min="9238" max="9472" width="9.140625" style="60"/>
    <col min="9473" max="9473" width="6" style="60" customWidth="1"/>
    <col min="9474" max="9474" width="17.85546875" style="60" customWidth="1"/>
    <col min="9475" max="9476" width="9.85546875" style="60" customWidth="1"/>
    <col min="9477" max="9477" width="11.28515625" style="60" customWidth="1"/>
    <col min="9478" max="9479" width="9.5703125" style="60" customWidth="1"/>
    <col min="9480" max="9480" width="9.85546875" style="60" customWidth="1"/>
    <col min="9481" max="9481" width="10.42578125" style="60" customWidth="1"/>
    <col min="9482" max="9482" width="10.7109375" style="60" customWidth="1"/>
    <col min="9483" max="9485" width="9.140625" style="60"/>
    <col min="9486" max="9486" width="11.28515625" style="60" bestFit="1" customWidth="1"/>
    <col min="9487" max="9487" width="10.7109375" style="60" bestFit="1" customWidth="1"/>
    <col min="9488" max="9493" width="0" style="60" hidden="1" customWidth="1"/>
    <col min="9494" max="9728" width="9.140625" style="60"/>
    <col min="9729" max="9729" width="6" style="60" customWidth="1"/>
    <col min="9730" max="9730" width="17.85546875" style="60" customWidth="1"/>
    <col min="9731" max="9732" width="9.85546875" style="60" customWidth="1"/>
    <col min="9733" max="9733" width="11.28515625" style="60" customWidth="1"/>
    <col min="9734" max="9735" width="9.5703125" style="60" customWidth="1"/>
    <col min="9736" max="9736" width="9.85546875" style="60" customWidth="1"/>
    <col min="9737" max="9737" width="10.42578125" style="60" customWidth="1"/>
    <col min="9738" max="9738" width="10.7109375" style="60" customWidth="1"/>
    <col min="9739" max="9741" width="9.140625" style="60"/>
    <col min="9742" max="9742" width="11.28515625" style="60" bestFit="1" customWidth="1"/>
    <col min="9743" max="9743" width="10.7109375" style="60" bestFit="1" customWidth="1"/>
    <col min="9744" max="9749" width="0" style="60" hidden="1" customWidth="1"/>
    <col min="9750" max="9984" width="9.140625" style="60"/>
    <col min="9985" max="9985" width="6" style="60" customWidth="1"/>
    <col min="9986" max="9986" width="17.85546875" style="60" customWidth="1"/>
    <col min="9987" max="9988" width="9.85546875" style="60" customWidth="1"/>
    <col min="9989" max="9989" width="11.28515625" style="60" customWidth="1"/>
    <col min="9990" max="9991" width="9.5703125" style="60" customWidth="1"/>
    <col min="9992" max="9992" width="9.85546875" style="60" customWidth="1"/>
    <col min="9993" max="9993" width="10.42578125" style="60" customWidth="1"/>
    <col min="9994" max="9994" width="10.7109375" style="60" customWidth="1"/>
    <col min="9995" max="9997" width="9.140625" style="60"/>
    <col min="9998" max="9998" width="11.28515625" style="60" bestFit="1" customWidth="1"/>
    <col min="9999" max="9999" width="10.7109375" style="60" bestFit="1" customWidth="1"/>
    <col min="10000" max="10005" width="0" style="60" hidden="1" customWidth="1"/>
    <col min="10006" max="10240" width="9.140625" style="60"/>
    <col min="10241" max="10241" width="6" style="60" customWidth="1"/>
    <col min="10242" max="10242" width="17.85546875" style="60" customWidth="1"/>
    <col min="10243" max="10244" width="9.85546875" style="60" customWidth="1"/>
    <col min="10245" max="10245" width="11.28515625" style="60" customWidth="1"/>
    <col min="10246" max="10247" width="9.5703125" style="60" customWidth="1"/>
    <col min="10248" max="10248" width="9.85546875" style="60" customWidth="1"/>
    <col min="10249" max="10249" width="10.42578125" style="60" customWidth="1"/>
    <col min="10250" max="10250" width="10.7109375" style="60" customWidth="1"/>
    <col min="10251" max="10253" width="9.140625" style="60"/>
    <col min="10254" max="10254" width="11.28515625" style="60" bestFit="1" customWidth="1"/>
    <col min="10255" max="10255" width="10.7109375" style="60" bestFit="1" customWidth="1"/>
    <col min="10256" max="10261" width="0" style="60" hidden="1" customWidth="1"/>
    <col min="10262" max="10496" width="9.140625" style="60"/>
    <col min="10497" max="10497" width="6" style="60" customWidth="1"/>
    <col min="10498" max="10498" width="17.85546875" style="60" customWidth="1"/>
    <col min="10499" max="10500" width="9.85546875" style="60" customWidth="1"/>
    <col min="10501" max="10501" width="11.28515625" style="60" customWidth="1"/>
    <col min="10502" max="10503" width="9.5703125" style="60" customWidth="1"/>
    <col min="10504" max="10504" width="9.85546875" style="60" customWidth="1"/>
    <col min="10505" max="10505" width="10.42578125" style="60" customWidth="1"/>
    <col min="10506" max="10506" width="10.7109375" style="60" customWidth="1"/>
    <col min="10507" max="10509" width="9.140625" style="60"/>
    <col min="10510" max="10510" width="11.28515625" style="60" bestFit="1" customWidth="1"/>
    <col min="10511" max="10511" width="10.7109375" style="60" bestFit="1" customWidth="1"/>
    <col min="10512" max="10517" width="0" style="60" hidden="1" customWidth="1"/>
    <col min="10518" max="10752" width="9.140625" style="60"/>
    <col min="10753" max="10753" width="6" style="60" customWidth="1"/>
    <col min="10754" max="10754" width="17.85546875" style="60" customWidth="1"/>
    <col min="10755" max="10756" width="9.85546875" style="60" customWidth="1"/>
    <col min="10757" max="10757" width="11.28515625" style="60" customWidth="1"/>
    <col min="10758" max="10759" width="9.5703125" style="60" customWidth="1"/>
    <col min="10760" max="10760" width="9.85546875" style="60" customWidth="1"/>
    <col min="10761" max="10761" width="10.42578125" style="60" customWidth="1"/>
    <col min="10762" max="10762" width="10.7109375" style="60" customWidth="1"/>
    <col min="10763" max="10765" width="9.140625" style="60"/>
    <col min="10766" max="10766" width="11.28515625" style="60" bestFit="1" customWidth="1"/>
    <col min="10767" max="10767" width="10.7109375" style="60" bestFit="1" customWidth="1"/>
    <col min="10768" max="10773" width="0" style="60" hidden="1" customWidth="1"/>
    <col min="10774" max="11008" width="9.140625" style="60"/>
    <col min="11009" max="11009" width="6" style="60" customWidth="1"/>
    <col min="11010" max="11010" width="17.85546875" style="60" customWidth="1"/>
    <col min="11011" max="11012" width="9.85546875" style="60" customWidth="1"/>
    <col min="11013" max="11013" width="11.28515625" style="60" customWidth="1"/>
    <col min="11014" max="11015" width="9.5703125" style="60" customWidth="1"/>
    <col min="11016" max="11016" width="9.85546875" style="60" customWidth="1"/>
    <col min="11017" max="11017" width="10.42578125" style="60" customWidth="1"/>
    <col min="11018" max="11018" width="10.7109375" style="60" customWidth="1"/>
    <col min="11019" max="11021" width="9.140625" style="60"/>
    <col min="11022" max="11022" width="11.28515625" style="60" bestFit="1" customWidth="1"/>
    <col min="11023" max="11023" width="10.7109375" style="60" bestFit="1" customWidth="1"/>
    <col min="11024" max="11029" width="0" style="60" hidden="1" customWidth="1"/>
    <col min="11030" max="11264" width="9.140625" style="60"/>
    <col min="11265" max="11265" width="6" style="60" customWidth="1"/>
    <col min="11266" max="11266" width="17.85546875" style="60" customWidth="1"/>
    <col min="11267" max="11268" width="9.85546875" style="60" customWidth="1"/>
    <col min="11269" max="11269" width="11.28515625" style="60" customWidth="1"/>
    <col min="11270" max="11271" width="9.5703125" style="60" customWidth="1"/>
    <col min="11272" max="11272" width="9.85546875" style="60" customWidth="1"/>
    <col min="11273" max="11273" width="10.42578125" style="60" customWidth="1"/>
    <col min="11274" max="11274" width="10.7109375" style="60" customWidth="1"/>
    <col min="11275" max="11277" width="9.140625" style="60"/>
    <col min="11278" max="11278" width="11.28515625" style="60" bestFit="1" customWidth="1"/>
    <col min="11279" max="11279" width="10.7109375" style="60" bestFit="1" customWidth="1"/>
    <col min="11280" max="11285" width="0" style="60" hidden="1" customWidth="1"/>
    <col min="11286" max="11520" width="9.140625" style="60"/>
    <col min="11521" max="11521" width="6" style="60" customWidth="1"/>
    <col min="11522" max="11522" width="17.85546875" style="60" customWidth="1"/>
    <col min="11523" max="11524" width="9.85546875" style="60" customWidth="1"/>
    <col min="11525" max="11525" width="11.28515625" style="60" customWidth="1"/>
    <col min="11526" max="11527" width="9.5703125" style="60" customWidth="1"/>
    <col min="11528" max="11528" width="9.85546875" style="60" customWidth="1"/>
    <col min="11529" max="11529" width="10.42578125" style="60" customWidth="1"/>
    <col min="11530" max="11530" width="10.7109375" style="60" customWidth="1"/>
    <col min="11531" max="11533" width="9.140625" style="60"/>
    <col min="11534" max="11534" width="11.28515625" style="60" bestFit="1" customWidth="1"/>
    <col min="11535" max="11535" width="10.7109375" style="60" bestFit="1" customWidth="1"/>
    <col min="11536" max="11541" width="0" style="60" hidden="1" customWidth="1"/>
    <col min="11542" max="11776" width="9.140625" style="60"/>
    <col min="11777" max="11777" width="6" style="60" customWidth="1"/>
    <col min="11778" max="11778" width="17.85546875" style="60" customWidth="1"/>
    <col min="11779" max="11780" width="9.85546875" style="60" customWidth="1"/>
    <col min="11781" max="11781" width="11.28515625" style="60" customWidth="1"/>
    <col min="11782" max="11783" width="9.5703125" style="60" customWidth="1"/>
    <col min="11784" max="11784" width="9.85546875" style="60" customWidth="1"/>
    <col min="11785" max="11785" width="10.42578125" style="60" customWidth="1"/>
    <col min="11786" max="11786" width="10.7109375" style="60" customWidth="1"/>
    <col min="11787" max="11789" width="9.140625" style="60"/>
    <col min="11790" max="11790" width="11.28515625" style="60" bestFit="1" customWidth="1"/>
    <col min="11791" max="11791" width="10.7109375" style="60" bestFit="1" customWidth="1"/>
    <col min="11792" max="11797" width="0" style="60" hidden="1" customWidth="1"/>
    <col min="11798" max="12032" width="9.140625" style="60"/>
    <col min="12033" max="12033" width="6" style="60" customWidth="1"/>
    <col min="12034" max="12034" width="17.85546875" style="60" customWidth="1"/>
    <col min="12035" max="12036" width="9.85546875" style="60" customWidth="1"/>
    <col min="12037" max="12037" width="11.28515625" style="60" customWidth="1"/>
    <col min="12038" max="12039" width="9.5703125" style="60" customWidth="1"/>
    <col min="12040" max="12040" width="9.85546875" style="60" customWidth="1"/>
    <col min="12041" max="12041" width="10.42578125" style="60" customWidth="1"/>
    <col min="12042" max="12042" width="10.7109375" style="60" customWidth="1"/>
    <col min="12043" max="12045" width="9.140625" style="60"/>
    <col min="12046" max="12046" width="11.28515625" style="60" bestFit="1" customWidth="1"/>
    <col min="12047" max="12047" width="10.7109375" style="60" bestFit="1" customWidth="1"/>
    <col min="12048" max="12053" width="0" style="60" hidden="1" customWidth="1"/>
    <col min="12054" max="12288" width="9.140625" style="60"/>
    <col min="12289" max="12289" width="6" style="60" customWidth="1"/>
    <col min="12290" max="12290" width="17.85546875" style="60" customWidth="1"/>
    <col min="12291" max="12292" width="9.85546875" style="60" customWidth="1"/>
    <col min="12293" max="12293" width="11.28515625" style="60" customWidth="1"/>
    <col min="12294" max="12295" width="9.5703125" style="60" customWidth="1"/>
    <col min="12296" max="12296" width="9.85546875" style="60" customWidth="1"/>
    <col min="12297" max="12297" width="10.42578125" style="60" customWidth="1"/>
    <col min="12298" max="12298" width="10.7109375" style="60" customWidth="1"/>
    <col min="12299" max="12301" width="9.140625" style="60"/>
    <col min="12302" max="12302" width="11.28515625" style="60" bestFit="1" customWidth="1"/>
    <col min="12303" max="12303" width="10.7109375" style="60" bestFit="1" customWidth="1"/>
    <col min="12304" max="12309" width="0" style="60" hidden="1" customWidth="1"/>
    <col min="12310" max="12544" width="9.140625" style="60"/>
    <col min="12545" max="12545" width="6" style="60" customWidth="1"/>
    <col min="12546" max="12546" width="17.85546875" style="60" customWidth="1"/>
    <col min="12547" max="12548" width="9.85546875" style="60" customWidth="1"/>
    <col min="12549" max="12549" width="11.28515625" style="60" customWidth="1"/>
    <col min="12550" max="12551" width="9.5703125" style="60" customWidth="1"/>
    <col min="12552" max="12552" width="9.85546875" style="60" customWidth="1"/>
    <col min="12553" max="12553" width="10.42578125" style="60" customWidth="1"/>
    <col min="12554" max="12554" width="10.7109375" style="60" customWidth="1"/>
    <col min="12555" max="12557" width="9.140625" style="60"/>
    <col min="12558" max="12558" width="11.28515625" style="60" bestFit="1" customWidth="1"/>
    <col min="12559" max="12559" width="10.7109375" style="60" bestFit="1" customWidth="1"/>
    <col min="12560" max="12565" width="0" style="60" hidden="1" customWidth="1"/>
    <col min="12566" max="12800" width="9.140625" style="60"/>
    <col min="12801" max="12801" width="6" style="60" customWidth="1"/>
    <col min="12802" max="12802" width="17.85546875" style="60" customWidth="1"/>
    <col min="12803" max="12804" width="9.85546875" style="60" customWidth="1"/>
    <col min="12805" max="12805" width="11.28515625" style="60" customWidth="1"/>
    <col min="12806" max="12807" width="9.5703125" style="60" customWidth="1"/>
    <col min="12808" max="12808" width="9.85546875" style="60" customWidth="1"/>
    <col min="12809" max="12809" width="10.42578125" style="60" customWidth="1"/>
    <col min="12810" max="12810" width="10.7109375" style="60" customWidth="1"/>
    <col min="12811" max="12813" width="9.140625" style="60"/>
    <col min="12814" max="12814" width="11.28515625" style="60" bestFit="1" customWidth="1"/>
    <col min="12815" max="12815" width="10.7109375" style="60" bestFit="1" customWidth="1"/>
    <col min="12816" max="12821" width="0" style="60" hidden="1" customWidth="1"/>
    <col min="12822" max="13056" width="9.140625" style="60"/>
    <col min="13057" max="13057" width="6" style="60" customWidth="1"/>
    <col min="13058" max="13058" width="17.85546875" style="60" customWidth="1"/>
    <col min="13059" max="13060" width="9.85546875" style="60" customWidth="1"/>
    <col min="13061" max="13061" width="11.28515625" style="60" customWidth="1"/>
    <col min="13062" max="13063" width="9.5703125" style="60" customWidth="1"/>
    <col min="13064" max="13064" width="9.85546875" style="60" customWidth="1"/>
    <col min="13065" max="13065" width="10.42578125" style="60" customWidth="1"/>
    <col min="13066" max="13066" width="10.7109375" style="60" customWidth="1"/>
    <col min="13067" max="13069" width="9.140625" style="60"/>
    <col min="13070" max="13070" width="11.28515625" style="60" bestFit="1" customWidth="1"/>
    <col min="13071" max="13071" width="10.7109375" style="60" bestFit="1" customWidth="1"/>
    <col min="13072" max="13077" width="0" style="60" hidden="1" customWidth="1"/>
    <col min="13078" max="13312" width="9.140625" style="60"/>
    <col min="13313" max="13313" width="6" style="60" customWidth="1"/>
    <col min="13314" max="13314" width="17.85546875" style="60" customWidth="1"/>
    <col min="13315" max="13316" width="9.85546875" style="60" customWidth="1"/>
    <col min="13317" max="13317" width="11.28515625" style="60" customWidth="1"/>
    <col min="13318" max="13319" width="9.5703125" style="60" customWidth="1"/>
    <col min="13320" max="13320" width="9.85546875" style="60" customWidth="1"/>
    <col min="13321" max="13321" width="10.42578125" style="60" customWidth="1"/>
    <col min="13322" max="13322" width="10.7109375" style="60" customWidth="1"/>
    <col min="13323" max="13325" width="9.140625" style="60"/>
    <col min="13326" max="13326" width="11.28515625" style="60" bestFit="1" customWidth="1"/>
    <col min="13327" max="13327" width="10.7109375" style="60" bestFit="1" customWidth="1"/>
    <col min="13328" max="13333" width="0" style="60" hidden="1" customWidth="1"/>
    <col min="13334" max="13568" width="9.140625" style="60"/>
    <col min="13569" max="13569" width="6" style="60" customWidth="1"/>
    <col min="13570" max="13570" width="17.85546875" style="60" customWidth="1"/>
    <col min="13571" max="13572" width="9.85546875" style="60" customWidth="1"/>
    <col min="13573" max="13573" width="11.28515625" style="60" customWidth="1"/>
    <col min="13574" max="13575" width="9.5703125" style="60" customWidth="1"/>
    <col min="13576" max="13576" width="9.85546875" style="60" customWidth="1"/>
    <col min="13577" max="13577" width="10.42578125" style="60" customWidth="1"/>
    <col min="13578" max="13578" width="10.7109375" style="60" customWidth="1"/>
    <col min="13579" max="13581" width="9.140625" style="60"/>
    <col min="13582" max="13582" width="11.28515625" style="60" bestFit="1" customWidth="1"/>
    <col min="13583" max="13583" width="10.7109375" style="60" bestFit="1" customWidth="1"/>
    <col min="13584" max="13589" width="0" style="60" hidden="1" customWidth="1"/>
    <col min="13590" max="13824" width="9.140625" style="60"/>
    <col min="13825" max="13825" width="6" style="60" customWidth="1"/>
    <col min="13826" max="13826" width="17.85546875" style="60" customWidth="1"/>
    <col min="13827" max="13828" width="9.85546875" style="60" customWidth="1"/>
    <col min="13829" max="13829" width="11.28515625" style="60" customWidth="1"/>
    <col min="13830" max="13831" width="9.5703125" style="60" customWidth="1"/>
    <col min="13832" max="13832" width="9.85546875" style="60" customWidth="1"/>
    <col min="13833" max="13833" width="10.42578125" style="60" customWidth="1"/>
    <col min="13834" max="13834" width="10.7109375" style="60" customWidth="1"/>
    <col min="13835" max="13837" width="9.140625" style="60"/>
    <col min="13838" max="13838" width="11.28515625" style="60" bestFit="1" customWidth="1"/>
    <col min="13839" max="13839" width="10.7109375" style="60" bestFit="1" customWidth="1"/>
    <col min="13840" max="13845" width="0" style="60" hidden="1" customWidth="1"/>
    <col min="13846" max="14080" width="9.140625" style="60"/>
    <col min="14081" max="14081" width="6" style="60" customWidth="1"/>
    <col min="14082" max="14082" width="17.85546875" style="60" customWidth="1"/>
    <col min="14083" max="14084" width="9.85546875" style="60" customWidth="1"/>
    <col min="14085" max="14085" width="11.28515625" style="60" customWidth="1"/>
    <col min="14086" max="14087" width="9.5703125" style="60" customWidth="1"/>
    <col min="14088" max="14088" width="9.85546875" style="60" customWidth="1"/>
    <col min="14089" max="14089" width="10.42578125" style="60" customWidth="1"/>
    <col min="14090" max="14090" width="10.7109375" style="60" customWidth="1"/>
    <col min="14091" max="14093" width="9.140625" style="60"/>
    <col min="14094" max="14094" width="11.28515625" style="60" bestFit="1" customWidth="1"/>
    <col min="14095" max="14095" width="10.7109375" style="60" bestFit="1" customWidth="1"/>
    <col min="14096" max="14101" width="0" style="60" hidden="1" customWidth="1"/>
    <col min="14102" max="14336" width="9.140625" style="60"/>
    <col min="14337" max="14337" width="6" style="60" customWidth="1"/>
    <col min="14338" max="14338" width="17.85546875" style="60" customWidth="1"/>
    <col min="14339" max="14340" width="9.85546875" style="60" customWidth="1"/>
    <col min="14341" max="14341" width="11.28515625" style="60" customWidth="1"/>
    <col min="14342" max="14343" width="9.5703125" style="60" customWidth="1"/>
    <col min="14344" max="14344" width="9.85546875" style="60" customWidth="1"/>
    <col min="14345" max="14345" width="10.42578125" style="60" customWidth="1"/>
    <col min="14346" max="14346" width="10.7109375" style="60" customWidth="1"/>
    <col min="14347" max="14349" width="9.140625" style="60"/>
    <col min="14350" max="14350" width="11.28515625" style="60" bestFit="1" customWidth="1"/>
    <col min="14351" max="14351" width="10.7109375" style="60" bestFit="1" customWidth="1"/>
    <col min="14352" max="14357" width="0" style="60" hidden="1" customWidth="1"/>
    <col min="14358" max="14592" width="9.140625" style="60"/>
    <col min="14593" max="14593" width="6" style="60" customWidth="1"/>
    <col min="14594" max="14594" width="17.85546875" style="60" customWidth="1"/>
    <col min="14595" max="14596" width="9.85546875" style="60" customWidth="1"/>
    <col min="14597" max="14597" width="11.28515625" style="60" customWidth="1"/>
    <col min="14598" max="14599" width="9.5703125" style="60" customWidth="1"/>
    <col min="14600" max="14600" width="9.85546875" style="60" customWidth="1"/>
    <col min="14601" max="14601" width="10.42578125" style="60" customWidth="1"/>
    <col min="14602" max="14602" width="10.7109375" style="60" customWidth="1"/>
    <col min="14603" max="14605" width="9.140625" style="60"/>
    <col min="14606" max="14606" width="11.28515625" style="60" bestFit="1" customWidth="1"/>
    <col min="14607" max="14607" width="10.7109375" style="60" bestFit="1" customWidth="1"/>
    <col min="14608" max="14613" width="0" style="60" hidden="1" customWidth="1"/>
    <col min="14614" max="14848" width="9.140625" style="60"/>
    <col min="14849" max="14849" width="6" style="60" customWidth="1"/>
    <col min="14850" max="14850" width="17.85546875" style="60" customWidth="1"/>
    <col min="14851" max="14852" width="9.85546875" style="60" customWidth="1"/>
    <col min="14853" max="14853" width="11.28515625" style="60" customWidth="1"/>
    <col min="14854" max="14855" width="9.5703125" style="60" customWidth="1"/>
    <col min="14856" max="14856" width="9.85546875" style="60" customWidth="1"/>
    <col min="14857" max="14857" width="10.42578125" style="60" customWidth="1"/>
    <col min="14858" max="14858" width="10.7109375" style="60" customWidth="1"/>
    <col min="14859" max="14861" width="9.140625" style="60"/>
    <col min="14862" max="14862" width="11.28515625" style="60" bestFit="1" customWidth="1"/>
    <col min="14863" max="14863" width="10.7109375" style="60" bestFit="1" customWidth="1"/>
    <col min="14864" max="14869" width="0" style="60" hidden="1" customWidth="1"/>
    <col min="14870" max="15104" width="9.140625" style="60"/>
    <col min="15105" max="15105" width="6" style="60" customWidth="1"/>
    <col min="15106" max="15106" width="17.85546875" style="60" customWidth="1"/>
    <col min="15107" max="15108" width="9.85546875" style="60" customWidth="1"/>
    <col min="15109" max="15109" width="11.28515625" style="60" customWidth="1"/>
    <col min="15110" max="15111" width="9.5703125" style="60" customWidth="1"/>
    <col min="15112" max="15112" width="9.85546875" style="60" customWidth="1"/>
    <col min="15113" max="15113" width="10.42578125" style="60" customWidth="1"/>
    <col min="15114" max="15114" width="10.7109375" style="60" customWidth="1"/>
    <col min="15115" max="15117" width="9.140625" style="60"/>
    <col min="15118" max="15118" width="11.28515625" style="60" bestFit="1" customWidth="1"/>
    <col min="15119" max="15119" width="10.7109375" style="60" bestFit="1" customWidth="1"/>
    <col min="15120" max="15125" width="0" style="60" hidden="1" customWidth="1"/>
    <col min="15126" max="15360" width="9.140625" style="60"/>
    <col min="15361" max="15361" width="6" style="60" customWidth="1"/>
    <col min="15362" max="15362" width="17.85546875" style="60" customWidth="1"/>
    <col min="15363" max="15364" width="9.85546875" style="60" customWidth="1"/>
    <col min="15365" max="15365" width="11.28515625" style="60" customWidth="1"/>
    <col min="15366" max="15367" width="9.5703125" style="60" customWidth="1"/>
    <col min="15368" max="15368" width="9.85546875" style="60" customWidth="1"/>
    <col min="15369" max="15369" width="10.42578125" style="60" customWidth="1"/>
    <col min="15370" max="15370" width="10.7109375" style="60" customWidth="1"/>
    <col min="15371" max="15373" width="9.140625" style="60"/>
    <col min="15374" max="15374" width="11.28515625" style="60" bestFit="1" customWidth="1"/>
    <col min="15375" max="15375" width="10.7109375" style="60" bestFit="1" customWidth="1"/>
    <col min="15376" max="15381" width="0" style="60" hidden="1" customWidth="1"/>
    <col min="15382" max="15616" width="9.140625" style="60"/>
    <col min="15617" max="15617" width="6" style="60" customWidth="1"/>
    <col min="15618" max="15618" width="17.85546875" style="60" customWidth="1"/>
    <col min="15619" max="15620" width="9.85546875" style="60" customWidth="1"/>
    <col min="15621" max="15621" width="11.28515625" style="60" customWidth="1"/>
    <col min="15622" max="15623" width="9.5703125" style="60" customWidth="1"/>
    <col min="15624" max="15624" width="9.85546875" style="60" customWidth="1"/>
    <col min="15625" max="15625" width="10.42578125" style="60" customWidth="1"/>
    <col min="15626" max="15626" width="10.7109375" style="60" customWidth="1"/>
    <col min="15627" max="15629" width="9.140625" style="60"/>
    <col min="15630" max="15630" width="11.28515625" style="60" bestFit="1" customWidth="1"/>
    <col min="15631" max="15631" width="10.7109375" style="60" bestFit="1" customWidth="1"/>
    <col min="15632" max="15637" width="0" style="60" hidden="1" customWidth="1"/>
    <col min="15638" max="15872" width="9.140625" style="60"/>
    <col min="15873" max="15873" width="6" style="60" customWidth="1"/>
    <col min="15874" max="15874" width="17.85546875" style="60" customWidth="1"/>
    <col min="15875" max="15876" width="9.85546875" style="60" customWidth="1"/>
    <col min="15877" max="15877" width="11.28515625" style="60" customWidth="1"/>
    <col min="15878" max="15879" width="9.5703125" style="60" customWidth="1"/>
    <col min="15880" max="15880" width="9.85546875" style="60" customWidth="1"/>
    <col min="15881" max="15881" width="10.42578125" style="60" customWidth="1"/>
    <col min="15882" max="15882" width="10.7109375" style="60" customWidth="1"/>
    <col min="15883" max="15885" width="9.140625" style="60"/>
    <col min="15886" max="15886" width="11.28515625" style="60" bestFit="1" customWidth="1"/>
    <col min="15887" max="15887" width="10.7109375" style="60" bestFit="1" customWidth="1"/>
    <col min="15888" max="15893" width="0" style="60" hidden="1" customWidth="1"/>
    <col min="15894" max="16128" width="9.140625" style="60"/>
    <col min="16129" max="16129" width="6" style="60" customWidth="1"/>
    <col min="16130" max="16130" width="17.85546875" style="60" customWidth="1"/>
    <col min="16131" max="16132" width="9.85546875" style="60" customWidth="1"/>
    <col min="16133" max="16133" width="11.28515625" style="60" customWidth="1"/>
    <col min="16134" max="16135" width="9.5703125" style="60" customWidth="1"/>
    <col min="16136" max="16136" width="9.85546875" style="60" customWidth="1"/>
    <col min="16137" max="16137" width="10.42578125" style="60" customWidth="1"/>
    <col min="16138" max="16138" width="10.7109375" style="60" customWidth="1"/>
    <col min="16139" max="16141" width="9.140625" style="60"/>
    <col min="16142" max="16142" width="11.28515625" style="60" bestFit="1" customWidth="1"/>
    <col min="16143" max="16143" width="10.7109375" style="60" bestFit="1" customWidth="1"/>
    <col min="16144" max="16149" width="0" style="60" hidden="1" customWidth="1"/>
    <col min="16150" max="16384" width="9.140625" style="60"/>
  </cols>
  <sheetData>
    <row r="2" spans="1:16" x14ac:dyDescent="0.2">
      <c r="B2" s="134" t="str">
        <f>[12]WUTC_KENT_SF!A1</f>
        <v>Kent-Meridian Disposal</v>
      </c>
      <c r="C2" s="79"/>
    </row>
    <row r="3" spans="1:16" x14ac:dyDescent="0.2">
      <c r="B3" s="134" t="str">
        <f>[12]WUTC_KENT_SF!A4</f>
        <v>Single Family</v>
      </c>
      <c r="C3" s="79"/>
    </row>
    <row r="4" spans="1:16" x14ac:dyDescent="0.2">
      <c r="C4" s="172"/>
      <c r="D4" s="172"/>
      <c r="E4" s="172"/>
      <c r="F4" s="172"/>
      <c r="G4" s="172"/>
      <c r="H4" s="173"/>
      <c r="I4" s="173"/>
      <c r="J4" s="134"/>
    </row>
    <row r="5" spans="1:16" x14ac:dyDescent="0.2">
      <c r="C5" s="172"/>
      <c r="D5" s="172"/>
      <c r="E5" s="172"/>
      <c r="F5" s="172"/>
      <c r="G5" s="172"/>
      <c r="H5" s="173"/>
      <c r="I5" s="173"/>
      <c r="J5" s="172"/>
    </row>
    <row r="6" spans="1:16" ht="9.9499999999999993" customHeight="1" x14ac:dyDescent="0.2">
      <c r="C6" s="82">
        <v>43221</v>
      </c>
      <c r="D6" s="83">
        <f t="shared" ref="D6:N6" si="0">EOMONTH(C6,1)</f>
        <v>43281</v>
      </c>
      <c r="E6" s="83">
        <f t="shared" si="0"/>
        <v>43312</v>
      </c>
      <c r="F6" s="83">
        <f t="shared" si="0"/>
        <v>43343</v>
      </c>
      <c r="G6" s="83">
        <f t="shared" si="0"/>
        <v>43373</v>
      </c>
      <c r="H6" s="83">
        <f t="shared" si="0"/>
        <v>43404</v>
      </c>
      <c r="I6" s="83">
        <f t="shared" si="0"/>
        <v>43434</v>
      </c>
      <c r="J6" s="83">
        <f t="shared" si="0"/>
        <v>43465</v>
      </c>
      <c r="K6" s="83">
        <f t="shared" si="0"/>
        <v>43496</v>
      </c>
      <c r="L6" s="83">
        <f t="shared" si="0"/>
        <v>43524</v>
      </c>
      <c r="M6" s="83">
        <f t="shared" si="0"/>
        <v>43555</v>
      </c>
      <c r="N6" s="83">
        <f t="shared" si="0"/>
        <v>43585</v>
      </c>
    </row>
    <row r="7" spans="1:16" s="61" customFormat="1" x14ac:dyDescent="0.2">
      <c r="A7" s="171" t="s">
        <v>34</v>
      </c>
      <c r="C7" s="174">
        <v>623.16</v>
      </c>
      <c r="D7" s="174">
        <v>620.62</v>
      </c>
      <c r="E7" s="174">
        <v>648.62</v>
      </c>
      <c r="F7" s="174">
        <v>674.98</v>
      </c>
      <c r="G7" s="174">
        <v>550.19000000000005</v>
      </c>
      <c r="H7" s="174">
        <v>657.09</v>
      </c>
      <c r="I7" s="174"/>
      <c r="J7" s="174"/>
      <c r="K7" s="174"/>
      <c r="L7" s="174"/>
      <c r="M7" s="174"/>
      <c r="N7" s="174"/>
    </row>
    <row r="8" spans="1:16" x14ac:dyDescent="0.2">
      <c r="A8" s="60" t="s">
        <v>35</v>
      </c>
      <c r="C8" s="86">
        <v>0</v>
      </c>
      <c r="D8" s="86">
        <v>0</v>
      </c>
      <c r="E8" s="86">
        <v>0</v>
      </c>
      <c r="F8" s="86">
        <v>0</v>
      </c>
      <c r="G8" s="86">
        <v>0</v>
      </c>
      <c r="H8" s="86">
        <v>0</v>
      </c>
      <c r="I8" s="86">
        <v>0</v>
      </c>
      <c r="J8" s="86">
        <v>0</v>
      </c>
      <c r="K8" s="86">
        <v>0</v>
      </c>
      <c r="L8" s="86">
        <v>0</v>
      </c>
      <c r="M8" s="86">
        <v>0</v>
      </c>
      <c r="N8" s="86">
        <v>0</v>
      </c>
    </row>
    <row r="9" spans="1:16" x14ac:dyDescent="0.2">
      <c r="A9" s="60" t="s">
        <v>36</v>
      </c>
      <c r="C9" s="87">
        <f t="shared" ref="C9:N9" si="1">+C7*C8</f>
        <v>0</v>
      </c>
      <c r="D9" s="87">
        <f t="shared" si="1"/>
        <v>0</v>
      </c>
      <c r="E9" s="87">
        <f t="shared" si="1"/>
        <v>0</v>
      </c>
      <c r="F9" s="87">
        <f t="shared" si="1"/>
        <v>0</v>
      </c>
      <c r="G9" s="87">
        <f t="shared" si="1"/>
        <v>0</v>
      </c>
      <c r="H9" s="87">
        <f t="shared" si="1"/>
        <v>0</v>
      </c>
      <c r="I9" s="87">
        <f t="shared" si="1"/>
        <v>0</v>
      </c>
      <c r="J9" s="87">
        <f t="shared" si="1"/>
        <v>0</v>
      </c>
      <c r="K9" s="87">
        <f t="shared" si="1"/>
        <v>0</v>
      </c>
      <c r="L9" s="87">
        <f t="shared" si="1"/>
        <v>0</v>
      </c>
      <c r="M9" s="87">
        <f t="shared" si="1"/>
        <v>0</v>
      </c>
      <c r="N9" s="87">
        <f t="shared" si="1"/>
        <v>0</v>
      </c>
    </row>
    <row r="10" spans="1:16" x14ac:dyDescent="0.2">
      <c r="A10" s="134" t="s">
        <v>37</v>
      </c>
      <c r="C10" s="88">
        <f t="shared" ref="C10:N10" si="2">+C7-C9</f>
        <v>623.16</v>
      </c>
      <c r="D10" s="88">
        <f t="shared" si="2"/>
        <v>620.62</v>
      </c>
      <c r="E10" s="88">
        <f t="shared" si="2"/>
        <v>648.62</v>
      </c>
      <c r="F10" s="88">
        <f t="shared" si="2"/>
        <v>674.98</v>
      </c>
      <c r="G10" s="88">
        <f t="shared" si="2"/>
        <v>550.19000000000005</v>
      </c>
      <c r="H10" s="88">
        <f t="shared" si="2"/>
        <v>657.09</v>
      </c>
      <c r="I10" s="88">
        <f t="shared" si="2"/>
        <v>0</v>
      </c>
      <c r="J10" s="88">
        <f t="shared" si="2"/>
        <v>0</v>
      </c>
      <c r="K10" s="88">
        <f t="shared" si="2"/>
        <v>0</v>
      </c>
      <c r="L10" s="88">
        <f t="shared" si="2"/>
        <v>0</v>
      </c>
      <c r="M10" s="88">
        <f t="shared" si="2"/>
        <v>0</v>
      </c>
      <c r="N10" s="88">
        <f t="shared" si="2"/>
        <v>0</v>
      </c>
    </row>
    <row r="12" spans="1:16" x14ac:dyDescent="0.2">
      <c r="A12" s="134" t="s">
        <v>38</v>
      </c>
    </row>
    <row r="13" spans="1:16" s="89" customFormat="1" x14ac:dyDescent="0.2">
      <c r="B13" s="89" t="s">
        <v>24</v>
      </c>
      <c r="C13" s="90">
        <v>0</v>
      </c>
      <c r="D13" s="90">
        <v>0</v>
      </c>
      <c r="E13" s="90">
        <v>0</v>
      </c>
      <c r="F13" s="90">
        <v>0</v>
      </c>
      <c r="G13" s="90">
        <v>0</v>
      </c>
      <c r="H13" s="90">
        <v>0</v>
      </c>
      <c r="I13" s="90">
        <v>0</v>
      </c>
      <c r="J13" s="90">
        <v>0</v>
      </c>
      <c r="K13" s="90">
        <v>0</v>
      </c>
      <c r="L13" s="90">
        <v>0</v>
      </c>
      <c r="M13" s="90">
        <v>0</v>
      </c>
      <c r="N13" s="90">
        <v>0</v>
      </c>
      <c r="P13" s="130"/>
    </row>
    <row r="14" spans="1:16" s="89" customFormat="1" x14ac:dyDescent="0.2">
      <c r="B14" s="89" t="s">
        <v>28</v>
      </c>
      <c r="C14" s="90">
        <v>0.1782</v>
      </c>
      <c r="D14" s="90">
        <v>0.1782</v>
      </c>
      <c r="E14" s="90">
        <v>0.1782</v>
      </c>
      <c r="F14" s="90">
        <v>0.1782</v>
      </c>
      <c r="G14" s="90">
        <v>0.1782</v>
      </c>
      <c r="H14" s="90">
        <v>0.1782</v>
      </c>
      <c r="I14" s="90">
        <v>0.1782</v>
      </c>
      <c r="J14" s="90">
        <v>0.1782</v>
      </c>
      <c r="K14" s="90">
        <v>0.1782</v>
      </c>
      <c r="L14" s="90">
        <v>0.1782</v>
      </c>
      <c r="M14" s="90">
        <v>0.1782</v>
      </c>
      <c r="N14" s="90">
        <v>0.1782</v>
      </c>
      <c r="P14" s="130"/>
    </row>
    <row r="15" spans="1:16" s="89" customFormat="1" x14ac:dyDescent="0.2">
      <c r="B15" s="89" t="s">
        <v>39</v>
      </c>
      <c r="C15" s="90">
        <v>0</v>
      </c>
      <c r="D15" s="90">
        <v>0</v>
      </c>
      <c r="E15" s="90">
        <v>0</v>
      </c>
      <c r="F15" s="90">
        <v>0</v>
      </c>
      <c r="G15" s="90">
        <v>0</v>
      </c>
      <c r="H15" s="90">
        <v>0</v>
      </c>
      <c r="I15" s="90">
        <v>0</v>
      </c>
      <c r="J15" s="90">
        <v>0</v>
      </c>
      <c r="K15" s="90">
        <v>0</v>
      </c>
      <c r="L15" s="90">
        <v>0</v>
      </c>
      <c r="M15" s="90">
        <v>0</v>
      </c>
      <c r="N15" s="90">
        <v>0</v>
      </c>
      <c r="P15" s="130"/>
    </row>
    <row r="16" spans="1:16" s="89" customFormat="1" x14ac:dyDescent="0.2">
      <c r="B16" s="89" t="s">
        <v>40</v>
      </c>
      <c r="C16" s="90">
        <v>1.6500000000000001E-2</v>
      </c>
      <c r="D16" s="90">
        <v>1.6500000000000001E-2</v>
      </c>
      <c r="E16" s="90">
        <v>1.6500000000000001E-2</v>
      </c>
      <c r="F16" s="90">
        <v>1.6500000000000001E-2</v>
      </c>
      <c r="G16" s="90">
        <v>1.6500000000000001E-2</v>
      </c>
      <c r="H16" s="90">
        <v>1.6500000000000001E-2</v>
      </c>
      <c r="I16" s="90">
        <v>1.6500000000000001E-2</v>
      </c>
      <c r="J16" s="90">
        <v>1.6500000000000001E-2</v>
      </c>
      <c r="K16" s="90">
        <v>1.6500000000000001E-2</v>
      </c>
      <c r="L16" s="90">
        <v>1.6500000000000001E-2</v>
      </c>
      <c r="M16" s="90">
        <v>1.6500000000000001E-2</v>
      </c>
      <c r="N16" s="90">
        <v>1.6500000000000001E-2</v>
      </c>
      <c r="P16" s="130"/>
    </row>
    <row r="17" spans="1:16" s="89" customFormat="1" x14ac:dyDescent="0.2">
      <c r="B17" s="89" t="s">
        <v>41</v>
      </c>
      <c r="C17" s="90">
        <v>4.4900000000000002E-2</v>
      </c>
      <c r="D17" s="90">
        <v>4.4900000000000002E-2</v>
      </c>
      <c r="E17" s="90">
        <v>4.4900000000000002E-2</v>
      </c>
      <c r="F17" s="90">
        <v>4.4900000000000002E-2</v>
      </c>
      <c r="G17" s="90">
        <v>4.4900000000000002E-2</v>
      </c>
      <c r="H17" s="90">
        <v>4.4900000000000002E-2</v>
      </c>
      <c r="I17" s="90">
        <v>4.4900000000000002E-2</v>
      </c>
      <c r="J17" s="90">
        <v>4.4900000000000002E-2</v>
      </c>
      <c r="K17" s="90">
        <v>4.4900000000000002E-2</v>
      </c>
      <c r="L17" s="90">
        <v>4.4900000000000002E-2</v>
      </c>
      <c r="M17" s="90">
        <v>4.4900000000000002E-2</v>
      </c>
      <c r="N17" s="90">
        <v>4.4900000000000002E-2</v>
      </c>
      <c r="P17" s="130"/>
    </row>
    <row r="18" spans="1:16" s="89" customFormat="1" x14ac:dyDescent="0.2">
      <c r="B18" s="89" t="s">
        <v>42</v>
      </c>
      <c r="C18" s="90">
        <v>7.4999999999999997E-3</v>
      </c>
      <c r="D18" s="90">
        <v>7.4999999999999997E-3</v>
      </c>
      <c r="E18" s="90">
        <v>7.4999999999999997E-3</v>
      </c>
      <c r="F18" s="90">
        <v>7.4999999999999997E-3</v>
      </c>
      <c r="G18" s="90">
        <v>7.4999999999999997E-3</v>
      </c>
      <c r="H18" s="90">
        <v>7.4999999999999997E-3</v>
      </c>
      <c r="I18" s="90">
        <v>7.4999999999999997E-3</v>
      </c>
      <c r="J18" s="90">
        <v>7.4999999999999997E-3</v>
      </c>
      <c r="K18" s="90">
        <v>7.4999999999999997E-3</v>
      </c>
      <c r="L18" s="90">
        <v>7.4999999999999997E-3</v>
      </c>
      <c r="M18" s="90">
        <v>7.4999999999999997E-3</v>
      </c>
      <c r="N18" s="90">
        <v>7.4999999999999997E-3</v>
      </c>
      <c r="P18" s="130"/>
    </row>
    <row r="19" spans="1:16" s="89" customFormat="1" x14ac:dyDescent="0.2">
      <c r="B19" s="60" t="s">
        <v>43</v>
      </c>
      <c r="C19" s="90">
        <v>0</v>
      </c>
      <c r="D19" s="90">
        <v>0</v>
      </c>
      <c r="E19" s="90">
        <v>0</v>
      </c>
      <c r="F19" s="90">
        <v>0</v>
      </c>
      <c r="G19" s="90">
        <v>0</v>
      </c>
      <c r="H19" s="90">
        <v>0</v>
      </c>
      <c r="I19" s="90">
        <v>0</v>
      </c>
      <c r="J19" s="90">
        <v>0</v>
      </c>
      <c r="K19" s="90">
        <v>0</v>
      </c>
      <c r="L19" s="90">
        <v>0</v>
      </c>
      <c r="M19" s="90">
        <v>0</v>
      </c>
      <c r="N19" s="90">
        <v>0</v>
      </c>
      <c r="P19" s="130"/>
    </row>
    <row r="20" spans="1:16" s="89" customFormat="1" x14ac:dyDescent="0.2">
      <c r="B20" s="60" t="s">
        <v>22</v>
      </c>
      <c r="C20" s="90">
        <v>0.17680000000000001</v>
      </c>
      <c r="D20" s="90">
        <v>0.17680000000000001</v>
      </c>
      <c r="E20" s="90">
        <v>0.17680000000000001</v>
      </c>
      <c r="F20" s="90">
        <v>0.17680000000000001</v>
      </c>
      <c r="G20" s="90">
        <v>0.17680000000000001</v>
      </c>
      <c r="H20" s="90">
        <v>0.17680000000000001</v>
      </c>
      <c r="I20" s="90">
        <v>0.17680000000000001</v>
      </c>
      <c r="J20" s="90">
        <v>0.17680000000000001</v>
      </c>
      <c r="K20" s="90">
        <v>0.17680000000000001</v>
      </c>
      <c r="L20" s="90">
        <v>0.17680000000000001</v>
      </c>
      <c r="M20" s="90">
        <v>0.17680000000000001</v>
      </c>
      <c r="N20" s="90">
        <v>0.17680000000000001</v>
      </c>
      <c r="P20" s="130"/>
    </row>
    <row r="21" spans="1:16" s="89" customFormat="1" x14ac:dyDescent="0.2">
      <c r="B21" s="89" t="s">
        <v>44</v>
      </c>
      <c r="C21" s="90">
        <v>0</v>
      </c>
      <c r="D21" s="90">
        <v>0</v>
      </c>
      <c r="E21" s="90">
        <v>0</v>
      </c>
      <c r="F21" s="90">
        <v>0</v>
      </c>
      <c r="G21" s="90">
        <v>0</v>
      </c>
      <c r="H21" s="90">
        <v>0</v>
      </c>
      <c r="I21" s="90">
        <v>0</v>
      </c>
      <c r="J21" s="90">
        <v>0</v>
      </c>
      <c r="K21" s="90">
        <v>0</v>
      </c>
      <c r="L21" s="90">
        <v>0</v>
      </c>
      <c r="M21" s="90">
        <v>0</v>
      </c>
      <c r="N21" s="90">
        <v>0</v>
      </c>
      <c r="P21" s="130"/>
    </row>
    <row r="22" spans="1:16" s="89" customFormat="1" x14ac:dyDescent="0.2">
      <c r="B22" s="89" t="s">
        <v>45</v>
      </c>
      <c r="C22" s="90">
        <v>5.930000000000013E-2</v>
      </c>
      <c r="D22" s="90">
        <v>5.930000000000013E-2</v>
      </c>
      <c r="E22" s="90">
        <v>5.930000000000013E-2</v>
      </c>
      <c r="F22" s="90">
        <v>5.930000000000013E-2</v>
      </c>
      <c r="G22" s="90">
        <v>5.930000000000013E-2</v>
      </c>
      <c r="H22" s="90">
        <v>5.930000000000013E-2</v>
      </c>
      <c r="I22" s="90">
        <v>5.930000000000013E-2</v>
      </c>
      <c r="J22" s="90">
        <v>5.930000000000013E-2</v>
      </c>
      <c r="K22" s="90">
        <v>5.930000000000013E-2</v>
      </c>
      <c r="L22" s="90">
        <v>5.930000000000013E-2</v>
      </c>
      <c r="M22" s="90">
        <v>5.930000000000013E-2</v>
      </c>
      <c r="N22" s="90">
        <v>5.930000000000013E-2</v>
      </c>
      <c r="P22" s="130"/>
    </row>
    <row r="23" spans="1:16" s="89" customFormat="1" x14ac:dyDescent="0.2">
      <c r="B23" s="89" t="s">
        <v>46</v>
      </c>
      <c r="C23" s="91">
        <v>0.51680000000000004</v>
      </c>
      <c r="D23" s="90">
        <v>0.51680000000000004</v>
      </c>
      <c r="E23" s="90">
        <v>0.51680000000000004</v>
      </c>
      <c r="F23" s="90">
        <v>0.51680000000000004</v>
      </c>
      <c r="G23" s="90">
        <v>0.51680000000000004</v>
      </c>
      <c r="H23" s="90">
        <v>0.51680000000000004</v>
      </c>
      <c r="I23" s="90">
        <v>0.51680000000000004</v>
      </c>
      <c r="J23" s="90">
        <v>0.51680000000000004</v>
      </c>
      <c r="K23" s="90">
        <v>0.51680000000000004</v>
      </c>
      <c r="L23" s="90">
        <v>0.51680000000000004</v>
      </c>
      <c r="M23" s="90">
        <v>0.51680000000000004</v>
      </c>
      <c r="N23" s="90">
        <v>0.51680000000000004</v>
      </c>
      <c r="P23" s="130"/>
    </row>
    <row r="24" spans="1:16" x14ac:dyDescent="0.2">
      <c r="C24" s="92">
        <v>1</v>
      </c>
      <c r="D24" s="92">
        <v>1</v>
      </c>
      <c r="E24" s="92">
        <v>1</v>
      </c>
      <c r="F24" s="92">
        <v>1</v>
      </c>
      <c r="G24" s="92">
        <v>1</v>
      </c>
      <c r="H24" s="92">
        <v>1</v>
      </c>
      <c r="I24" s="92">
        <v>1</v>
      </c>
      <c r="J24" s="92">
        <v>1</v>
      </c>
      <c r="K24" s="92">
        <v>1</v>
      </c>
      <c r="L24" s="92">
        <v>1</v>
      </c>
      <c r="M24" s="92">
        <v>1</v>
      </c>
      <c r="N24" s="92">
        <v>1</v>
      </c>
      <c r="P24" s="130"/>
    </row>
    <row r="26" spans="1:16" x14ac:dyDescent="0.2">
      <c r="A26" s="134" t="s">
        <v>47</v>
      </c>
    </row>
    <row r="27" spans="1:16" x14ac:dyDescent="0.2">
      <c r="B27" s="60" t="s">
        <v>24</v>
      </c>
      <c r="C27" s="70">
        <f t="shared" ref="C27:N27" si="3">+C$10*C13</f>
        <v>0</v>
      </c>
      <c r="D27" s="70">
        <f t="shared" si="3"/>
        <v>0</v>
      </c>
      <c r="E27" s="70">
        <f t="shared" si="3"/>
        <v>0</v>
      </c>
      <c r="F27" s="70">
        <f t="shared" si="3"/>
        <v>0</v>
      </c>
      <c r="G27" s="70">
        <f t="shared" si="3"/>
        <v>0</v>
      </c>
      <c r="H27" s="70">
        <f t="shared" si="3"/>
        <v>0</v>
      </c>
      <c r="I27" s="70">
        <f t="shared" si="3"/>
        <v>0</v>
      </c>
      <c r="J27" s="70">
        <f t="shared" si="3"/>
        <v>0</v>
      </c>
      <c r="K27" s="70">
        <f t="shared" si="3"/>
        <v>0</v>
      </c>
      <c r="L27" s="70">
        <f t="shared" si="3"/>
        <v>0</v>
      </c>
      <c r="M27" s="70">
        <f t="shared" si="3"/>
        <v>0</v>
      </c>
      <c r="N27" s="70">
        <f t="shared" si="3"/>
        <v>0</v>
      </c>
    </row>
    <row r="28" spans="1:16" x14ac:dyDescent="0.2">
      <c r="B28" s="60" t="s">
        <v>28</v>
      </c>
      <c r="C28" s="70">
        <f t="shared" ref="C28:N28" si="4">+C$10*C14</f>
        <v>111.047112</v>
      </c>
      <c r="D28" s="70">
        <f t="shared" si="4"/>
        <v>110.59448399999999</v>
      </c>
      <c r="E28" s="70">
        <f t="shared" si="4"/>
        <v>115.584084</v>
      </c>
      <c r="F28" s="70">
        <f t="shared" si="4"/>
        <v>120.281436</v>
      </c>
      <c r="G28" s="70">
        <f t="shared" si="4"/>
        <v>98.043858000000014</v>
      </c>
      <c r="H28" s="70">
        <f t="shared" si="4"/>
        <v>117.09343800000001</v>
      </c>
      <c r="I28" s="70">
        <f t="shared" si="4"/>
        <v>0</v>
      </c>
      <c r="J28" s="70">
        <f t="shared" si="4"/>
        <v>0</v>
      </c>
      <c r="K28" s="70">
        <f t="shared" si="4"/>
        <v>0</v>
      </c>
      <c r="L28" s="70">
        <f t="shared" si="4"/>
        <v>0</v>
      </c>
      <c r="M28" s="70">
        <f t="shared" si="4"/>
        <v>0</v>
      </c>
      <c r="N28" s="70">
        <f t="shared" si="4"/>
        <v>0</v>
      </c>
    </row>
    <row r="29" spans="1:16" x14ac:dyDescent="0.2">
      <c r="B29" s="60" t="s">
        <v>39</v>
      </c>
      <c r="C29" s="70">
        <f t="shared" ref="C29:N29" si="5">+C$10*C15</f>
        <v>0</v>
      </c>
      <c r="D29" s="70">
        <f t="shared" si="5"/>
        <v>0</v>
      </c>
      <c r="E29" s="70">
        <f t="shared" si="5"/>
        <v>0</v>
      </c>
      <c r="F29" s="70">
        <f t="shared" si="5"/>
        <v>0</v>
      </c>
      <c r="G29" s="70">
        <f t="shared" si="5"/>
        <v>0</v>
      </c>
      <c r="H29" s="70">
        <f t="shared" si="5"/>
        <v>0</v>
      </c>
      <c r="I29" s="70">
        <f t="shared" si="5"/>
        <v>0</v>
      </c>
      <c r="J29" s="70">
        <f t="shared" si="5"/>
        <v>0</v>
      </c>
      <c r="K29" s="70">
        <f t="shared" si="5"/>
        <v>0</v>
      </c>
      <c r="L29" s="70">
        <f t="shared" si="5"/>
        <v>0</v>
      </c>
      <c r="M29" s="70">
        <f t="shared" si="5"/>
        <v>0</v>
      </c>
      <c r="N29" s="70">
        <f t="shared" si="5"/>
        <v>0</v>
      </c>
    </row>
    <row r="30" spans="1:16" x14ac:dyDescent="0.2">
      <c r="B30" s="60" t="s">
        <v>40</v>
      </c>
      <c r="C30" s="70">
        <f t="shared" ref="C30:N30" si="6">+C$10*C16</f>
        <v>10.28214</v>
      </c>
      <c r="D30" s="70">
        <f t="shared" si="6"/>
        <v>10.24023</v>
      </c>
      <c r="E30" s="70">
        <f t="shared" si="6"/>
        <v>10.70223</v>
      </c>
      <c r="F30" s="70">
        <f t="shared" si="6"/>
        <v>11.137170000000001</v>
      </c>
      <c r="G30" s="70">
        <f t="shared" si="6"/>
        <v>9.0781350000000014</v>
      </c>
      <c r="H30" s="70">
        <f t="shared" si="6"/>
        <v>10.841985000000001</v>
      </c>
      <c r="I30" s="70">
        <f t="shared" si="6"/>
        <v>0</v>
      </c>
      <c r="J30" s="70">
        <f t="shared" si="6"/>
        <v>0</v>
      </c>
      <c r="K30" s="70">
        <f t="shared" si="6"/>
        <v>0</v>
      </c>
      <c r="L30" s="70">
        <f t="shared" si="6"/>
        <v>0</v>
      </c>
      <c r="M30" s="70">
        <f t="shared" si="6"/>
        <v>0</v>
      </c>
      <c r="N30" s="70">
        <f t="shared" si="6"/>
        <v>0</v>
      </c>
    </row>
    <row r="31" spans="1:16" x14ac:dyDescent="0.2">
      <c r="B31" s="60" t="s">
        <v>41</v>
      </c>
      <c r="C31" s="70">
        <f t="shared" ref="C31:N31" si="7">+C$10*C17</f>
        <v>27.979883999999998</v>
      </c>
      <c r="D31" s="70">
        <f t="shared" si="7"/>
        <v>27.865838</v>
      </c>
      <c r="E31" s="70">
        <f t="shared" si="7"/>
        <v>29.123038000000001</v>
      </c>
      <c r="F31" s="70">
        <f t="shared" si="7"/>
        <v>30.306602000000002</v>
      </c>
      <c r="G31" s="70">
        <f t="shared" si="7"/>
        <v>24.703531000000005</v>
      </c>
      <c r="H31" s="70">
        <f t="shared" si="7"/>
        <v>29.503341000000002</v>
      </c>
      <c r="I31" s="70">
        <f t="shared" si="7"/>
        <v>0</v>
      </c>
      <c r="J31" s="70">
        <f t="shared" si="7"/>
        <v>0</v>
      </c>
      <c r="K31" s="70">
        <f t="shared" si="7"/>
        <v>0</v>
      </c>
      <c r="L31" s="70">
        <f t="shared" si="7"/>
        <v>0</v>
      </c>
      <c r="M31" s="70">
        <f t="shared" si="7"/>
        <v>0</v>
      </c>
      <c r="N31" s="70">
        <f t="shared" si="7"/>
        <v>0</v>
      </c>
    </row>
    <row r="32" spans="1:16" x14ac:dyDescent="0.2">
      <c r="B32" s="60" t="s">
        <v>42</v>
      </c>
      <c r="C32" s="70">
        <f t="shared" ref="C32:N32" si="8">+C$10*C18</f>
        <v>4.6736999999999993</v>
      </c>
      <c r="D32" s="70">
        <f t="shared" si="8"/>
        <v>4.6546500000000002</v>
      </c>
      <c r="E32" s="70">
        <f t="shared" si="8"/>
        <v>4.8646500000000001</v>
      </c>
      <c r="F32" s="70">
        <f t="shared" si="8"/>
        <v>5.0623500000000003</v>
      </c>
      <c r="G32" s="70">
        <f t="shared" si="8"/>
        <v>4.1264250000000002</v>
      </c>
      <c r="H32" s="70">
        <f t="shared" si="8"/>
        <v>4.9281750000000004</v>
      </c>
      <c r="I32" s="70">
        <f t="shared" si="8"/>
        <v>0</v>
      </c>
      <c r="J32" s="70">
        <f t="shared" si="8"/>
        <v>0</v>
      </c>
      <c r="K32" s="70">
        <f t="shared" si="8"/>
        <v>0</v>
      </c>
      <c r="L32" s="70">
        <f t="shared" si="8"/>
        <v>0</v>
      </c>
      <c r="M32" s="70">
        <f t="shared" si="8"/>
        <v>0</v>
      </c>
      <c r="N32" s="70">
        <f t="shared" si="8"/>
        <v>0</v>
      </c>
    </row>
    <row r="33" spans="1:14" x14ac:dyDescent="0.2">
      <c r="B33" s="60" t="s">
        <v>43</v>
      </c>
      <c r="C33" s="70">
        <f t="shared" ref="C33:N33" si="9">+C$10*C19</f>
        <v>0</v>
      </c>
      <c r="D33" s="70">
        <f t="shared" si="9"/>
        <v>0</v>
      </c>
      <c r="E33" s="70">
        <f t="shared" si="9"/>
        <v>0</v>
      </c>
      <c r="F33" s="70">
        <f t="shared" si="9"/>
        <v>0</v>
      </c>
      <c r="G33" s="70">
        <f t="shared" si="9"/>
        <v>0</v>
      </c>
      <c r="H33" s="70">
        <f t="shared" si="9"/>
        <v>0</v>
      </c>
      <c r="I33" s="70">
        <f t="shared" si="9"/>
        <v>0</v>
      </c>
      <c r="J33" s="70">
        <f t="shared" si="9"/>
        <v>0</v>
      </c>
      <c r="K33" s="70">
        <f t="shared" si="9"/>
        <v>0</v>
      </c>
      <c r="L33" s="70">
        <f t="shared" si="9"/>
        <v>0</v>
      </c>
      <c r="M33" s="70">
        <f t="shared" si="9"/>
        <v>0</v>
      </c>
      <c r="N33" s="70">
        <f t="shared" si="9"/>
        <v>0</v>
      </c>
    </row>
    <row r="34" spans="1:14" x14ac:dyDescent="0.2">
      <c r="B34" s="60" t="s">
        <v>22</v>
      </c>
      <c r="C34" s="70">
        <f t="shared" ref="C34:N34" si="10">+C$10*C20</f>
        <v>110.174688</v>
      </c>
      <c r="D34" s="70">
        <f t="shared" si="10"/>
        <v>109.725616</v>
      </c>
      <c r="E34" s="70">
        <f t="shared" si="10"/>
        <v>114.676016</v>
      </c>
      <c r="F34" s="70">
        <f t="shared" si="10"/>
        <v>119.33646400000001</v>
      </c>
      <c r="G34" s="70">
        <f t="shared" si="10"/>
        <v>97.273592000000022</v>
      </c>
      <c r="H34" s="70">
        <f t="shared" si="10"/>
        <v>116.17351200000002</v>
      </c>
      <c r="I34" s="70">
        <f t="shared" si="10"/>
        <v>0</v>
      </c>
      <c r="J34" s="70">
        <f t="shared" si="10"/>
        <v>0</v>
      </c>
      <c r="K34" s="70">
        <f t="shared" si="10"/>
        <v>0</v>
      </c>
      <c r="L34" s="70">
        <f t="shared" si="10"/>
        <v>0</v>
      </c>
      <c r="M34" s="70">
        <f t="shared" si="10"/>
        <v>0</v>
      </c>
      <c r="N34" s="70">
        <f t="shared" si="10"/>
        <v>0</v>
      </c>
    </row>
    <row r="35" spans="1:14" x14ac:dyDescent="0.2">
      <c r="B35" s="60" t="s">
        <v>44</v>
      </c>
      <c r="C35" s="70">
        <f t="shared" ref="C35:N35" si="11">+C$10*C21</f>
        <v>0</v>
      </c>
      <c r="D35" s="70">
        <f t="shared" si="11"/>
        <v>0</v>
      </c>
      <c r="E35" s="70">
        <f t="shared" si="11"/>
        <v>0</v>
      </c>
      <c r="F35" s="70">
        <f t="shared" si="11"/>
        <v>0</v>
      </c>
      <c r="G35" s="70">
        <f t="shared" si="11"/>
        <v>0</v>
      </c>
      <c r="H35" s="70">
        <f t="shared" si="11"/>
        <v>0</v>
      </c>
      <c r="I35" s="70">
        <f t="shared" si="11"/>
        <v>0</v>
      </c>
      <c r="J35" s="70">
        <f t="shared" si="11"/>
        <v>0</v>
      </c>
      <c r="K35" s="70">
        <f t="shared" si="11"/>
        <v>0</v>
      </c>
      <c r="L35" s="70">
        <f t="shared" si="11"/>
        <v>0</v>
      </c>
      <c r="M35" s="70">
        <f t="shared" si="11"/>
        <v>0</v>
      </c>
      <c r="N35" s="70">
        <f t="shared" si="11"/>
        <v>0</v>
      </c>
    </row>
    <row r="36" spans="1:14" x14ac:dyDescent="0.2">
      <c r="B36" s="60" t="s">
        <v>45</v>
      </c>
      <c r="C36" s="70">
        <f t="shared" ref="C36:N36" si="12">+C$10*C22</f>
        <v>36.953388000000082</v>
      </c>
      <c r="D36" s="70">
        <f t="shared" si="12"/>
        <v>36.802766000000084</v>
      </c>
      <c r="E36" s="70">
        <f t="shared" si="12"/>
        <v>38.463166000000086</v>
      </c>
      <c r="F36" s="70">
        <f t="shared" si="12"/>
        <v>40.026314000000092</v>
      </c>
      <c r="G36" s="70">
        <f t="shared" si="12"/>
        <v>32.626267000000077</v>
      </c>
      <c r="H36" s="70">
        <f t="shared" si="12"/>
        <v>38.965437000000087</v>
      </c>
      <c r="I36" s="70">
        <f t="shared" si="12"/>
        <v>0</v>
      </c>
      <c r="J36" s="70">
        <f t="shared" si="12"/>
        <v>0</v>
      </c>
      <c r="K36" s="70">
        <f t="shared" si="12"/>
        <v>0</v>
      </c>
      <c r="L36" s="70">
        <f t="shared" si="12"/>
        <v>0</v>
      </c>
      <c r="M36" s="70">
        <f t="shared" si="12"/>
        <v>0</v>
      </c>
      <c r="N36" s="70">
        <f t="shared" si="12"/>
        <v>0</v>
      </c>
    </row>
    <row r="37" spans="1:14" x14ac:dyDescent="0.2">
      <c r="B37" s="60" t="s">
        <v>46</v>
      </c>
      <c r="C37" s="87">
        <f t="shared" ref="C37:N37" si="13">+C$10*C23</f>
        <v>322.04908799999998</v>
      </c>
      <c r="D37" s="87">
        <f t="shared" si="13"/>
        <v>320.73641600000002</v>
      </c>
      <c r="E37" s="87">
        <f t="shared" si="13"/>
        <v>335.206816</v>
      </c>
      <c r="F37" s="87">
        <f t="shared" si="13"/>
        <v>348.82966400000004</v>
      </c>
      <c r="G37" s="87">
        <f t="shared" si="13"/>
        <v>284.33819200000005</v>
      </c>
      <c r="H37" s="87">
        <f t="shared" si="13"/>
        <v>339.58411200000006</v>
      </c>
      <c r="I37" s="87">
        <f t="shared" si="13"/>
        <v>0</v>
      </c>
      <c r="J37" s="87">
        <f t="shared" si="13"/>
        <v>0</v>
      </c>
      <c r="K37" s="87">
        <f t="shared" si="13"/>
        <v>0</v>
      </c>
      <c r="L37" s="87">
        <f t="shared" si="13"/>
        <v>0</v>
      </c>
      <c r="M37" s="87">
        <f t="shared" si="13"/>
        <v>0</v>
      </c>
      <c r="N37" s="87">
        <f t="shared" si="13"/>
        <v>0</v>
      </c>
    </row>
    <row r="38" spans="1:14" x14ac:dyDescent="0.2">
      <c r="C38" s="70">
        <f t="shared" ref="C38:N38" si="14">SUM(C27:C37)</f>
        <v>623.16000000000008</v>
      </c>
      <c r="D38" s="70">
        <f t="shared" si="14"/>
        <v>620.62000000000012</v>
      </c>
      <c r="E38" s="70">
        <f t="shared" si="14"/>
        <v>648.62000000000012</v>
      </c>
      <c r="F38" s="70">
        <f t="shared" si="14"/>
        <v>674.98000000000013</v>
      </c>
      <c r="G38" s="70">
        <f t="shared" si="14"/>
        <v>550.19000000000028</v>
      </c>
      <c r="H38" s="70">
        <f t="shared" si="14"/>
        <v>657.09000000000015</v>
      </c>
      <c r="I38" s="70">
        <f t="shared" si="14"/>
        <v>0</v>
      </c>
      <c r="J38" s="70">
        <f t="shared" si="14"/>
        <v>0</v>
      </c>
      <c r="K38" s="70">
        <f t="shared" si="14"/>
        <v>0</v>
      </c>
      <c r="L38" s="70">
        <f t="shared" si="14"/>
        <v>0</v>
      </c>
      <c r="M38" s="70">
        <f t="shared" si="14"/>
        <v>0</v>
      </c>
      <c r="N38" s="70">
        <f t="shared" si="14"/>
        <v>0</v>
      </c>
    </row>
    <row r="40" spans="1:14" x14ac:dyDescent="0.2">
      <c r="A40" s="134" t="s">
        <v>48</v>
      </c>
    </row>
    <row r="41" spans="1:14" x14ac:dyDescent="0.2">
      <c r="B41" s="60" t="s">
        <v>24</v>
      </c>
      <c r="C41" s="175">
        <v>1</v>
      </c>
      <c r="D41" s="94">
        <v>1</v>
      </c>
      <c r="E41" s="94">
        <v>1</v>
      </c>
      <c r="F41" s="94">
        <v>1</v>
      </c>
      <c r="G41" s="94">
        <v>1</v>
      </c>
      <c r="H41" s="94">
        <v>1</v>
      </c>
      <c r="I41" s="94">
        <v>1</v>
      </c>
      <c r="J41" s="94">
        <v>1</v>
      </c>
      <c r="K41" s="94">
        <v>1</v>
      </c>
      <c r="L41" s="94">
        <v>1</v>
      </c>
      <c r="M41" s="94">
        <v>1</v>
      </c>
      <c r="N41" s="94">
        <v>1</v>
      </c>
    </row>
    <row r="42" spans="1:14" x14ac:dyDescent="0.2">
      <c r="B42" s="60" t="s">
        <v>28</v>
      </c>
      <c r="C42" s="175">
        <v>1</v>
      </c>
      <c r="D42" s="94">
        <v>1</v>
      </c>
      <c r="E42" s="94">
        <v>1</v>
      </c>
      <c r="F42" s="94">
        <v>1</v>
      </c>
      <c r="G42" s="94">
        <v>1</v>
      </c>
      <c r="H42" s="94">
        <v>1</v>
      </c>
      <c r="I42" s="94">
        <v>1</v>
      </c>
      <c r="J42" s="94">
        <v>1</v>
      </c>
      <c r="K42" s="94">
        <v>1</v>
      </c>
      <c r="L42" s="94">
        <v>1</v>
      </c>
      <c r="M42" s="94">
        <v>1</v>
      </c>
      <c r="N42" s="94">
        <v>1</v>
      </c>
    </row>
    <row r="43" spans="1:14" x14ac:dyDescent="0.2">
      <c r="B43" s="60" t="s">
        <v>39</v>
      </c>
      <c r="C43" s="175">
        <v>1</v>
      </c>
      <c r="D43" s="94">
        <v>1</v>
      </c>
      <c r="E43" s="94">
        <v>1</v>
      </c>
      <c r="F43" s="94">
        <v>1</v>
      </c>
      <c r="G43" s="94">
        <v>1</v>
      </c>
      <c r="H43" s="94">
        <v>1</v>
      </c>
      <c r="I43" s="94">
        <v>1</v>
      </c>
      <c r="J43" s="94">
        <v>1</v>
      </c>
      <c r="K43" s="94">
        <v>1</v>
      </c>
      <c r="L43" s="94">
        <v>1</v>
      </c>
      <c r="M43" s="94">
        <v>1</v>
      </c>
      <c r="N43" s="94">
        <v>1</v>
      </c>
    </row>
    <row r="44" spans="1:14" x14ac:dyDescent="0.2">
      <c r="B44" s="60" t="s">
        <v>40</v>
      </c>
      <c r="C44" s="175">
        <v>1</v>
      </c>
      <c r="D44" s="94">
        <v>1</v>
      </c>
      <c r="E44" s="94">
        <v>1</v>
      </c>
      <c r="F44" s="94">
        <v>1</v>
      </c>
      <c r="G44" s="94">
        <v>1</v>
      </c>
      <c r="H44" s="94">
        <v>1</v>
      </c>
      <c r="I44" s="94">
        <v>1</v>
      </c>
      <c r="J44" s="94">
        <v>1</v>
      </c>
      <c r="K44" s="94">
        <v>1</v>
      </c>
      <c r="L44" s="94">
        <v>1</v>
      </c>
      <c r="M44" s="94">
        <v>1</v>
      </c>
      <c r="N44" s="94">
        <v>1</v>
      </c>
    </row>
    <row r="45" spans="1:14" x14ac:dyDescent="0.2">
      <c r="B45" s="60" t="s">
        <v>41</v>
      </c>
      <c r="C45" s="175">
        <v>1</v>
      </c>
      <c r="D45" s="94">
        <v>1</v>
      </c>
      <c r="E45" s="94">
        <v>1</v>
      </c>
      <c r="F45" s="94">
        <v>1</v>
      </c>
      <c r="G45" s="94">
        <v>1</v>
      </c>
      <c r="H45" s="94">
        <v>1</v>
      </c>
      <c r="I45" s="94">
        <v>1</v>
      </c>
      <c r="J45" s="94">
        <v>1</v>
      </c>
      <c r="K45" s="94">
        <v>1</v>
      </c>
      <c r="L45" s="94">
        <v>1</v>
      </c>
      <c r="M45" s="94">
        <v>1</v>
      </c>
      <c r="N45" s="94">
        <v>1</v>
      </c>
    </row>
    <row r="46" spans="1:14" x14ac:dyDescent="0.2">
      <c r="B46" s="60" t="s">
        <v>42</v>
      </c>
      <c r="C46" s="175">
        <v>1</v>
      </c>
      <c r="D46" s="94">
        <v>1</v>
      </c>
      <c r="E46" s="94">
        <v>1</v>
      </c>
      <c r="F46" s="94">
        <v>1</v>
      </c>
      <c r="G46" s="94">
        <v>1</v>
      </c>
      <c r="H46" s="94">
        <v>1</v>
      </c>
      <c r="I46" s="94">
        <v>1</v>
      </c>
      <c r="J46" s="94">
        <v>1</v>
      </c>
      <c r="K46" s="94">
        <v>1</v>
      </c>
      <c r="L46" s="94">
        <v>1</v>
      </c>
      <c r="M46" s="94">
        <v>1</v>
      </c>
      <c r="N46" s="94">
        <v>1</v>
      </c>
    </row>
    <row r="47" spans="1:14" x14ac:dyDescent="0.2">
      <c r="B47" s="60" t="s">
        <v>43</v>
      </c>
      <c r="C47" s="175">
        <v>1</v>
      </c>
      <c r="D47" s="94">
        <v>1</v>
      </c>
      <c r="E47" s="94">
        <v>1</v>
      </c>
      <c r="F47" s="94">
        <v>1</v>
      </c>
      <c r="G47" s="94">
        <v>1</v>
      </c>
      <c r="H47" s="94">
        <v>1</v>
      </c>
      <c r="I47" s="94">
        <v>1</v>
      </c>
      <c r="J47" s="94">
        <v>1</v>
      </c>
      <c r="K47" s="94">
        <v>1</v>
      </c>
      <c r="L47" s="94">
        <v>1</v>
      </c>
      <c r="M47" s="94">
        <v>1</v>
      </c>
      <c r="N47" s="94">
        <v>1</v>
      </c>
    </row>
    <row r="48" spans="1:14" x14ac:dyDescent="0.2">
      <c r="B48" s="60" t="s">
        <v>22</v>
      </c>
      <c r="C48" s="175">
        <v>1</v>
      </c>
      <c r="D48" s="94">
        <v>1</v>
      </c>
      <c r="E48" s="94">
        <v>1</v>
      </c>
      <c r="F48" s="94">
        <v>1</v>
      </c>
      <c r="G48" s="94">
        <v>1</v>
      </c>
      <c r="H48" s="94">
        <v>1</v>
      </c>
      <c r="I48" s="94">
        <v>1</v>
      </c>
      <c r="J48" s="94">
        <v>1</v>
      </c>
      <c r="K48" s="94">
        <v>1</v>
      </c>
      <c r="L48" s="94">
        <v>1</v>
      </c>
      <c r="M48" s="94">
        <v>1</v>
      </c>
      <c r="N48" s="94">
        <v>1</v>
      </c>
    </row>
    <row r="49" spans="1:18" x14ac:dyDescent="0.2">
      <c r="B49" s="60" t="s">
        <v>44</v>
      </c>
      <c r="C49" s="175">
        <v>1</v>
      </c>
      <c r="D49" s="94">
        <v>1</v>
      </c>
      <c r="E49" s="94">
        <v>1</v>
      </c>
      <c r="F49" s="94">
        <v>1</v>
      </c>
      <c r="G49" s="94">
        <v>1</v>
      </c>
      <c r="H49" s="94">
        <v>1</v>
      </c>
      <c r="I49" s="94">
        <v>1</v>
      </c>
      <c r="J49" s="94">
        <v>1</v>
      </c>
      <c r="K49" s="94">
        <v>1</v>
      </c>
      <c r="L49" s="94">
        <v>1</v>
      </c>
      <c r="M49" s="94">
        <v>1</v>
      </c>
      <c r="N49" s="94">
        <v>1</v>
      </c>
    </row>
    <row r="50" spans="1:18" ht="12.75" x14ac:dyDescent="0.2">
      <c r="B50" s="60" t="s">
        <v>45</v>
      </c>
      <c r="C50" s="175">
        <v>1</v>
      </c>
      <c r="D50" s="94">
        <v>1</v>
      </c>
      <c r="E50" s="94">
        <v>1</v>
      </c>
      <c r="F50" s="94">
        <v>1</v>
      </c>
      <c r="G50" s="94">
        <v>1</v>
      </c>
      <c r="H50" s="94">
        <v>1</v>
      </c>
      <c r="I50" s="94">
        <v>1</v>
      </c>
      <c r="J50" s="94">
        <v>1</v>
      </c>
      <c r="K50" s="94">
        <v>1</v>
      </c>
      <c r="L50" s="94">
        <v>1</v>
      </c>
      <c r="M50" s="94">
        <v>1</v>
      </c>
      <c r="N50" s="94">
        <v>1</v>
      </c>
      <c r="R50" s="142"/>
    </row>
    <row r="51" spans="1:18" ht="14.25" customHeight="1" x14ac:dyDescent="0.2">
      <c r="C51" s="92"/>
      <c r="D51" s="94"/>
      <c r="E51" s="94"/>
      <c r="F51" s="94"/>
      <c r="G51" s="94"/>
      <c r="H51" s="94"/>
      <c r="I51" s="94"/>
      <c r="J51" s="94"/>
      <c r="K51" s="94"/>
      <c r="L51" s="94"/>
      <c r="M51" s="94"/>
      <c r="N51" s="94"/>
      <c r="P51" s="105"/>
      <c r="R51" s="142"/>
    </row>
    <row r="52" spans="1:18" ht="12.75" x14ac:dyDescent="0.2">
      <c r="A52" s="60" t="s">
        <v>46</v>
      </c>
      <c r="C52" s="92">
        <f>+C65/C37</f>
        <v>0.99999999999999978</v>
      </c>
      <c r="D52" s="94">
        <v>1</v>
      </c>
      <c r="E52" s="94">
        <v>1</v>
      </c>
      <c r="F52" s="94">
        <v>1</v>
      </c>
      <c r="G52" s="94">
        <v>1</v>
      </c>
      <c r="H52" s="94">
        <v>1</v>
      </c>
      <c r="I52" s="94">
        <v>1</v>
      </c>
      <c r="J52" s="94">
        <v>1</v>
      </c>
      <c r="K52" s="94">
        <v>1</v>
      </c>
      <c r="L52" s="94">
        <v>1</v>
      </c>
      <c r="M52" s="94">
        <v>1</v>
      </c>
      <c r="N52" s="94">
        <v>1</v>
      </c>
      <c r="P52" s="53"/>
      <c r="R52" s="142"/>
    </row>
    <row r="53" spans="1:18" ht="12.75" x14ac:dyDescent="0.2">
      <c r="L53" s="92"/>
      <c r="N53" s="94"/>
      <c r="P53" s="53"/>
      <c r="Q53" s="105"/>
      <c r="R53" s="142"/>
    </row>
    <row r="54" spans="1:18" ht="12.75" x14ac:dyDescent="0.2">
      <c r="A54" s="134" t="s">
        <v>49</v>
      </c>
      <c r="L54" s="92"/>
      <c r="N54" s="94"/>
      <c r="P54" s="53"/>
      <c r="Q54" s="142"/>
      <c r="R54" s="142"/>
    </row>
    <row r="55" spans="1:18" ht="12.75" x14ac:dyDescent="0.2">
      <c r="B55" s="60" t="s">
        <v>24</v>
      </c>
      <c r="C55" s="70">
        <f t="shared" ref="C55:N55" si="15">+C27*C41</f>
        <v>0</v>
      </c>
      <c r="D55" s="70">
        <f t="shared" si="15"/>
        <v>0</v>
      </c>
      <c r="E55" s="70">
        <f t="shared" si="15"/>
        <v>0</v>
      </c>
      <c r="F55" s="70">
        <f t="shared" si="15"/>
        <v>0</v>
      </c>
      <c r="G55" s="70">
        <f t="shared" si="15"/>
        <v>0</v>
      </c>
      <c r="H55" s="70">
        <f t="shared" si="15"/>
        <v>0</v>
      </c>
      <c r="I55" s="70">
        <f t="shared" si="15"/>
        <v>0</v>
      </c>
      <c r="J55" s="70">
        <f t="shared" si="15"/>
        <v>0</v>
      </c>
      <c r="K55" s="70">
        <f t="shared" si="15"/>
        <v>0</v>
      </c>
      <c r="L55" s="70">
        <f t="shared" si="15"/>
        <v>0</v>
      </c>
      <c r="M55" s="70">
        <f t="shared" si="15"/>
        <v>0</v>
      </c>
      <c r="N55" s="70">
        <f t="shared" si="15"/>
        <v>0</v>
      </c>
      <c r="P55" s="53"/>
      <c r="Q55" s="142"/>
      <c r="R55" s="142"/>
    </row>
    <row r="56" spans="1:18" ht="12.75" x14ac:dyDescent="0.2">
      <c r="B56" s="60" t="s">
        <v>28</v>
      </c>
      <c r="C56" s="70">
        <f t="shared" ref="C56:N56" si="16">+C28*C42</f>
        <v>111.047112</v>
      </c>
      <c r="D56" s="70">
        <f t="shared" si="16"/>
        <v>110.59448399999999</v>
      </c>
      <c r="E56" s="70">
        <f t="shared" si="16"/>
        <v>115.584084</v>
      </c>
      <c r="F56" s="70">
        <f t="shared" si="16"/>
        <v>120.281436</v>
      </c>
      <c r="G56" s="70">
        <f t="shared" si="16"/>
        <v>98.043858000000014</v>
      </c>
      <c r="H56" s="70">
        <f t="shared" si="16"/>
        <v>117.09343800000001</v>
      </c>
      <c r="I56" s="70">
        <f t="shared" si="16"/>
        <v>0</v>
      </c>
      <c r="J56" s="70">
        <f t="shared" si="16"/>
        <v>0</v>
      </c>
      <c r="K56" s="70">
        <f t="shared" si="16"/>
        <v>0</v>
      </c>
      <c r="L56" s="70">
        <f t="shared" si="16"/>
        <v>0</v>
      </c>
      <c r="M56" s="70">
        <f t="shared" si="16"/>
        <v>0</v>
      </c>
      <c r="N56" s="70">
        <f t="shared" si="16"/>
        <v>0</v>
      </c>
      <c r="P56" s="53"/>
      <c r="Q56" s="142"/>
      <c r="R56" s="142"/>
    </row>
    <row r="57" spans="1:18" ht="12.75" x14ac:dyDescent="0.2">
      <c r="B57" s="60" t="s">
        <v>39</v>
      </c>
      <c r="C57" s="70">
        <f t="shared" ref="C57:N57" si="17">+C29*C43</f>
        <v>0</v>
      </c>
      <c r="D57" s="70">
        <f t="shared" si="17"/>
        <v>0</v>
      </c>
      <c r="E57" s="70">
        <f t="shared" si="17"/>
        <v>0</v>
      </c>
      <c r="F57" s="70">
        <f t="shared" si="17"/>
        <v>0</v>
      </c>
      <c r="G57" s="70">
        <f t="shared" si="17"/>
        <v>0</v>
      </c>
      <c r="H57" s="70">
        <f t="shared" si="17"/>
        <v>0</v>
      </c>
      <c r="I57" s="70">
        <f t="shared" si="17"/>
        <v>0</v>
      </c>
      <c r="J57" s="70">
        <f t="shared" si="17"/>
        <v>0</v>
      </c>
      <c r="K57" s="70">
        <f t="shared" si="17"/>
        <v>0</v>
      </c>
      <c r="L57" s="70">
        <f t="shared" si="17"/>
        <v>0</v>
      </c>
      <c r="M57" s="70">
        <f t="shared" si="17"/>
        <v>0</v>
      </c>
      <c r="N57" s="70">
        <f t="shared" si="17"/>
        <v>0</v>
      </c>
      <c r="P57" s="53"/>
      <c r="Q57" s="142"/>
      <c r="R57" s="142"/>
    </row>
    <row r="58" spans="1:18" ht="12.75" x14ac:dyDescent="0.2">
      <c r="B58" s="60" t="s">
        <v>40</v>
      </c>
      <c r="C58" s="70">
        <f t="shared" ref="C58:N58" si="18">+C30*C44</f>
        <v>10.28214</v>
      </c>
      <c r="D58" s="70">
        <f t="shared" si="18"/>
        <v>10.24023</v>
      </c>
      <c r="E58" s="70">
        <f t="shared" si="18"/>
        <v>10.70223</v>
      </c>
      <c r="F58" s="70">
        <f t="shared" si="18"/>
        <v>11.137170000000001</v>
      </c>
      <c r="G58" s="70">
        <f t="shared" si="18"/>
        <v>9.0781350000000014</v>
      </c>
      <c r="H58" s="70">
        <f t="shared" si="18"/>
        <v>10.841985000000001</v>
      </c>
      <c r="I58" s="70">
        <f t="shared" si="18"/>
        <v>0</v>
      </c>
      <c r="J58" s="70">
        <f t="shared" si="18"/>
        <v>0</v>
      </c>
      <c r="K58" s="70">
        <f t="shared" si="18"/>
        <v>0</v>
      </c>
      <c r="L58" s="70">
        <f t="shared" si="18"/>
        <v>0</v>
      </c>
      <c r="M58" s="70">
        <f t="shared" si="18"/>
        <v>0</v>
      </c>
      <c r="N58" s="70">
        <f t="shared" si="18"/>
        <v>0</v>
      </c>
      <c r="P58" s="53"/>
      <c r="Q58" s="142"/>
    </row>
    <row r="59" spans="1:18" ht="12.75" x14ac:dyDescent="0.2">
      <c r="B59" s="60" t="s">
        <v>41</v>
      </c>
      <c r="C59" s="70">
        <f t="shared" ref="C59:N59" si="19">+C31*C45</f>
        <v>27.979883999999998</v>
      </c>
      <c r="D59" s="70">
        <f t="shared" si="19"/>
        <v>27.865838</v>
      </c>
      <c r="E59" s="70">
        <f t="shared" si="19"/>
        <v>29.123038000000001</v>
      </c>
      <c r="F59" s="70">
        <f t="shared" si="19"/>
        <v>30.306602000000002</v>
      </c>
      <c r="G59" s="70">
        <f t="shared" si="19"/>
        <v>24.703531000000005</v>
      </c>
      <c r="H59" s="70">
        <f t="shared" si="19"/>
        <v>29.503341000000002</v>
      </c>
      <c r="I59" s="70">
        <f t="shared" si="19"/>
        <v>0</v>
      </c>
      <c r="J59" s="70">
        <f t="shared" si="19"/>
        <v>0</v>
      </c>
      <c r="K59" s="70">
        <f t="shared" si="19"/>
        <v>0</v>
      </c>
      <c r="L59" s="70">
        <f t="shared" si="19"/>
        <v>0</v>
      </c>
      <c r="M59" s="70">
        <f t="shared" si="19"/>
        <v>0</v>
      </c>
      <c r="N59" s="70">
        <f t="shared" si="19"/>
        <v>0</v>
      </c>
      <c r="P59" s="53"/>
      <c r="Q59" s="142"/>
    </row>
    <row r="60" spans="1:18" ht="12.75" x14ac:dyDescent="0.2">
      <c r="B60" s="60" t="s">
        <v>42</v>
      </c>
      <c r="C60" s="95">
        <f t="shared" ref="C60:N60" si="20">+C32*C46</f>
        <v>4.6736999999999993</v>
      </c>
      <c r="D60" s="95">
        <f t="shared" si="20"/>
        <v>4.6546500000000002</v>
      </c>
      <c r="E60" s="95">
        <f t="shared" si="20"/>
        <v>4.8646500000000001</v>
      </c>
      <c r="F60" s="95">
        <f t="shared" si="20"/>
        <v>5.0623500000000003</v>
      </c>
      <c r="G60" s="95">
        <f t="shared" si="20"/>
        <v>4.1264250000000002</v>
      </c>
      <c r="H60" s="95">
        <f t="shared" si="20"/>
        <v>4.9281750000000004</v>
      </c>
      <c r="I60" s="95">
        <f t="shared" si="20"/>
        <v>0</v>
      </c>
      <c r="J60" s="95">
        <f t="shared" si="20"/>
        <v>0</v>
      </c>
      <c r="K60" s="95">
        <f t="shared" si="20"/>
        <v>0</v>
      </c>
      <c r="L60" s="95">
        <f t="shared" si="20"/>
        <v>0</v>
      </c>
      <c r="M60" s="95">
        <f t="shared" si="20"/>
        <v>0</v>
      </c>
      <c r="N60" s="95">
        <f t="shared" si="20"/>
        <v>0</v>
      </c>
      <c r="P60" s="53"/>
      <c r="Q60" s="142"/>
    </row>
    <row r="61" spans="1:18" ht="12.75" x14ac:dyDescent="0.2">
      <c r="B61" s="60" t="s">
        <v>43</v>
      </c>
      <c r="C61" s="70">
        <f t="shared" ref="C61:N61" si="21">+C33*C47</f>
        <v>0</v>
      </c>
      <c r="D61" s="70">
        <f t="shared" si="21"/>
        <v>0</v>
      </c>
      <c r="E61" s="70">
        <f t="shared" si="21"/>
        <v>0</v>
      </c>
      <c r="F61" s="70">
        <f t="shared" si="21"/>
        <v>0</v>
      </c>
      <c r="G61" s="70">
        <f t="shared" si="21"/>
        <v>0</v>
      </c>
      <c r="H61" s="70">
        <f t="shared" si="21"/>
        <v>0</v>
      </c>
      <c r="I61" s="70">
        <f t="shared" si="21"/>
        <v>0</v>
      </c>
      <c r="J61" s="70">
        <f t="shared" si="21"/>
        <v>0</v>
      </c>
      <c r="K61" s="70">
        <f t="shared" si="21"/>
        <v>0</v>
      </c>
      <c r="L61" s="70">
        <f t="shared" si="21"/>
        <v>0</v>
      </c>
      <c r="M61" s="70">
        <f t="shared" si="21"/>
        <v>0</v>
      </c>
      <c r="N61" s="70">
        <f t="shared" si="21"/>
        <v>0</v>
      </c>
      <c r="P61" s="53"/>
      <c r="Q61" s="142"/>
    </row>
    <row r="62" spans="1:18" x14ac:dyDescent="0.2">
      <c r="B62" s="60" t="s">
        <v>36</v>
      </c>
      <c r="C62" s="70">
        <f t="shared" ref="C62:N62" si="22">+C34*C48</f>
        <v>110.174688</v>
      </c>
      <c r="D62" s="70">
        <f t="shared" si="22"/>
        <v>109.725616</v>
      </c>
      <c r="E62" s="70">
        <f t="shared" si="22"/>
        <v>114.676016</v>
      </c>
      <c r="F62" s="70">
        <f t="shared" si="22"/>
        <v>119.33646400000001</v>
      </c>
      <c r="G62" s="70">
        <f t="shared" si="22"/>
        <v>97.273592000000022</v>
      </c>
      <c r="H62" s="70">
        <f t="shared" si="22"/>
        <v>116.17351200000002</v>
      </c>
      <c r="I62" s="70">
        <f t="shared" si="22"/>
        <v>0</v>
      </c>
      <c r="J62" s="70">
        <f t="shared" si="22"/>
        <v>0</v>
      </c>
      <c r="K62" s="70">
        <f t="shared" si="22"/>
        <v>0</v>
      </c>
      <c r="L62" s="70">
        <f t="shared" si="22"/>
        <v>0</v>
      </c>
      <c r="M62" s="70">
        <f t="shared" si="22"/>
        <v>0</v>
      </c>
      <c r="N62" s="70">
        <f t="shared" si="22"/>
        <v>0</v>
      </c>
    </row>
    <row r="63" spans="1:18" x14ac:dyDescent="0.2">
      <c r="B63" s="60" t="s">
        <v>44</v>
      </c>
      <c r="C63" s="70">
        <f t="shared" ref="C63:N63" si="23">+C35*C49</f>
        <v>0</v>
      </c>
      <c r="D63" s="70">
        <f t="shared" si="23"/>
        <v>0</v>
      </c>
      <c r="E63" s="70">
        <f t="shared" si="23"/>
        <v>0</v>
      </c>
      <c r="F63" s="70">
        <f t="shared" si="23"/>
        <v>0</v>
      </c>
      <c r="G63" s="70">
        <f t="shared" si="23"/>
        <v>0</v>
      </c>
      <c r="H63" s="70">
        <f t="shared" si="23"/>
        <v>0</v>
      </c>
      <c r="I63" s="70">
        <f t="shared" si="23"/>
        <v>0</v>
      </c>
      <c r="J63" s="70">
        <f t="shared" si="23"/>
        <v>0</v>
      </c>
      <c r="K63" s="70">
        <f t="shared" si="23"/>
        <v>0</v>
      </c>
      <c r="L63" s="70">
        <f t="shared" si="23"/>
        <v>0</v>
      </c>
      <c r="M63" s="70">
        <f t="shared" si="23"/>
        <v>0</v>
      </c>
      <c r="N63" s="70">
        <f t="shared" si="23"/>
        <v>0</v>
      </c>
    </row>
    <row r="64" spans="1:18" x14ac:dyDescent="0.2">
      <c r="B64" s="60" t="s">
        <v>45</v>
      </c>
      <c r="C64" s="70">
        <f t="shared" ref="C64:N64" si="24">+C36*C50</f>
        <v>36.953388000000082</v>
      </c>
      <c r="D64" s="70">
        <f t="shared" si="24"/>
        <v>36.802766000000084</v>
      </c>
      <c r="E64" s="70">
        <f t="shared" si="24"/>
        <v>38.463166000000086</v>
      </c>
      <c r="F64" s="70">
        <f t="shared" si="24"/>
        <v>40.026314000000092</v>
      </c>
      <c r="G64" s="70">
        <f t="shared" si="24"/>
        <v>32.626267000000077</v>
      </c>
      <c r="H64" s="70">
        <f t="shared" si="24"/>
        <v>38.965437000000087</v>
      </c>
      <c r="I64" s="70">
        <f t="shared" si="24"/>
        <v>0</v>
      </c>
      <c r="J64" s="70">
        <f t="shared" si="24"/>
        <v>0</v>
      </c>
      <c r="K64" s="70">
        <f t="shared" si="24"/>
        <v>0</v>
      </c>
      <c r="L64" s="70">
        <f t="shared" si="24"/>
        <v>0</v>
      </c>
      <c r="M64" s="70">
        <f t="shared" si="24"/>
        <v>0</v>
      </c>
      <c r="N64" s="70">
        <f t="shared" si="24"/>
        <v>0</v>
      </c>
    </row>
    <row r="65" spans="1:21" x14ac:dyDescent="0.2">
      <c r="B65" s="60" t="s">
        <v>46</v>
      </c>
      <c r="C65" s="87">
        <f t="shared" ref="C65:N65" si="25">+C7-SUM(C55:C64)</f>
        <v>322.04908799999993</v>
      </c>
      <c r="D65" s="87">
        <f t="shared" si="25"/>
        <v>320.73641599999991</v>
      </c>
      <c r="E65" s="87">
        <f t="shared" si="25"/>
        <v>335.20681599999989</v>
      </c>
      <c r="F65" s="87">
        <f t="shared" si="25"/>
        <v>348.82966399999992</v>
      </c>
      <c r="G65" s="87">
        <f t="shared" si="25"/>
        <v>284.33819199999988</v>
      </c>
      <c r="H65" s="87">
        <f t="shared" si="25"/>
        <v>339.58411199999989</v>
      </c>
      <c r="I65" s="87">
        <f t="shared" si="25"/>
        <v>0</v>
      </c>
      <c r="J65" s="87">
        <f t="shared" si="25"/>
        <v>0</v>
      </c>
      <c r="K65" s="87">
        <f t="shared" si="25"/>
        <v>0</v>
      </c>
      <c r="L65" s="87">
        <f t="shared" si="25"/>
        <v>0</v>
      </c>
      <c r="M65" s="87">
        <f t="shared" si="25"/>
        <v>0</v>
      </c>
      <c r="N65" s="87">
        <f t="shared" si="25"/>
        <v>0</v>
      </c>
    </row>
    <row r="66" spans="1:21" ht="13.5" customHeight="1" x14ac:dyDescent="0.2">
      <c r="C66" s="70">
        <f t="shared" ref="C66:N66" si="26">SUM(C55:C65)</f>
        <v>623.16</v>
      </c>
      <c r="D66" s="70">
        <f t="shared" si="26"/>
        <v>620.62</v>
      </c>
      <c r="E66" s="70">
        <f t="shared" si="26"/>
        <v>648.62</v>
      </c>
      <c r="F66" s="70">
        <f t="shared" si="26"/>
        <v>674.98</v>
      </c>
      <c r="G66" s="70">
        <f t="shared" si="26"/>
        <v>550.19000000000005</v>
      </c>
      <c r="H66" s="70">
        <f t="shared" si="26"/>
        <v>657.09</v>
      </c>
      <c r="I66" s="70">
        <f t="shared" si="26"/>
        <v>0</v>
      </c>
      <c r="J66" s="70">
        <f t="shared" si="26"/>
        <v>0</v>
      </c>
      <c r="K66" s="70">
        <f t="shared" si="26"/>
        <v>0</v>
      </c>
      <c r="L66" s="70">
        <f t="shared" si="26"/>
        <v>0</v>
      </c>
      <c r="M66" s="70">
        <f t="shared" si="26"/>
        <v>0</v>
      </c>
      <c r="N66" s="70">
        <f t="shared" si="26"/>
        <v>0</v>
      </c>
    </row>
    <row r="67" spans="1:21" ht="9.75" customHeight="1" x14ac:dyDescent="0.2">
      <c r="P67" s="137" t="s">
        <v>80</v>
      </c>
      <c r="S67" s="143" t="s">
        <v>71</v>
      </c>
      <c r="T67" s="63" t="s">
        <v>69</v>
      </c>
    </row>
    <row r="68" spans="1:21" ht="12.75" x14ac:dyDescent="0.2">
      <c r="A68" s="176" t="s">
        <v>50</v>
      </c>
      <c r="P68" s="137" t="s">
        <v>75</v>
      </c>
      <c r="R68" s="60" t="s">
        <v>70</v>
      </c>
      <c r="S68" s="60" t="s">
        <v>219</v>
      </c>
      <c r="T68" s="131" t="str">
        <f>TEXT(C6,"mm/yy")&amp;" - "&amp;TEXT(N6,"mm/yy")</f>
        <v>05/18 - 04/19</v>
      </c>
      <c r="U68" s="60" t="s">
        <v>218</v>
      </c>
    </row>
    <row r="69" spans="1:21" ht="12" x14ac:dyDescent="0.2">
      <c r="B69" s="60" t="s">
        <v>24</v>
      </c>
      <c r="C69" s="365"/>
      <c r="D69" s="365"/>
      <c r="E69" s="365"/>
      <c r="F69" s="365"/>
      <c r="G69" s="366"/>
      <c r="H69" s="366"/>
      <c r="I69" s="365"/>
      <c r="J69" s="365"/>
      <c r="K69" s="365"/>
      <c r="L69" s="364"/>
      <c r="M69" s="364"/>
      <c r="N69" s="364"/>
      <c r="P69" s="138" t="e">
        <f t="shared" ref="P69:P79" si="27">AVERAGE(C69:N69)</f>
        <v>#DIV/0!</v>
      </c>
      <c r="R69" s="60" t="str">
        <f t="shared" ref="R69:R79" si="28">+B69</f>
        <v>ONP</v>
      </c>
      <c r="S69" s="132">
        <f>'[13]Single Family'!$N$69*'[13]Single Family'!$N$13</f>
        <v>13.357889999999999</v>
      </c>
      <c r="T69" s="133" t="e">
        <f t="shared" ref="T69:T79" si="29">P69*N13</f>
        <v>#DIV/0!</v>
      </c>
      <c r="U69" s="102" t="e">
        <f t="shared" ref="U69:U80" si="30">+T69-S69</f>
        <v>#DIV/0!</v>
      </c>
    </row>
    <row r="70" spans="1:21" ht="12" x14ac:dyDescent="0.2">
      <c r="B70" s="60" t="s">
        <v>28</v>
      </c>
      <c r="C70" s="365">
        <v>43.519999999999996</v>
      </c>
      <c r="D70" s="365">
        <v>60.11</v>
      </c>
      <c r="E70" s="365">
        <v>68.38</v>
      </c>
      <c r="F70" s="365">
        <v>60.64</v>
      </c>
      <c r="G70" s="366">
        <v>63.85</v>
      </c>
      <c r="H70" s="366">
        <v>71.680000000000007</v>
      </c>
      <c r="I70" s="365"/>
      <c r="J70" s="365"/>
      <c r="K70" s="365"/>
      <c r="L70" s="365"/>
      <c r="M70" s="365"/>
      <c r="N70" s="365"/>
      <c r="P70" s="138">
        <f t="shared" si="27"/>
        <v>61.363333333333337</v>
      </c>
      <c r="R70" s="60" t="str">
        <f t="shared" si="28"/>
        <v>OCC</v>
      </c>
      <c r="S70" s="132">
        <f>'[13]Single Family'!$N$70*'[13]Single Family'!$N$14</f>
        <v>16.395825599999998</v>
      </c>
      <c r="T70" s="133">
        <f t="shared" si="29"/>
        <v>10.934946</v>
      </c>
      <c r="U70" s="102">
        <f t="shared" si="30"/>
        <v>-5.4608795999999984</v>
      </c>
    </row>
    <row r="71" spans="1:21" ht="12" x14ac:dyDescent="0.2">
      <c r="B71" s="60" t="s">
        <v>39</v>
      </c>
      <c r="C71" s="365"/>
      <c r="D71" s="365"/>
      <c r="E71" s="365"/>
      <c r="F71" s="365"/>
      <c r="G71" s="366"/>
      <c r="H71" s="366"/>
      <c r="I71" s="365"/>
      <c r="J71" s="365"/>
      <c r="K71" s="365"/>
      <c r="L71" s="365"/>
      <c r="M71" s="365"/>
      <c r="N71" s="365"/>
      <c r="P71" s="138" t="e">
        <f t="shared" si="27"/>
        <v>#DIV/0!</v>
      </c>
      <c r="R71" s="60" t="str">
        <f t="shared" si="28"/>
        <v>Magazines</v>
      </c>
      <c r="S71" s="132">
        <v>0</v>
      </c>
      <c r="T71" s="133" t="e">
        <f t="shared" si="29"/>
        <v>#DIV/0!</v>
      </c>
      <c r="U71" s="102" t="e">
        <f t="shared" si="30"/>
        <v>#DIV/0!</v>
      </c>
    </row>
    <row r="72" spans="1:21" ht="12" x14ac:dyDescent="0.2">
      <c r="B72" s="60" t="s">
        <v>40</v>
      </c>
      <c r="C72" s="365">
        <v>90.64</v>
      </c>
      <c r="D72" s="365">
        <v>93.07</v>
      </c>
      <c r="E72" s="365">
        <v>91.06</v>
      </c>
      <c r="F72" s="365">
        <v>61.85</v>
      </c>
      <c r="G72" s="366">
        <v>69.650000000000006</v>
      </c>
      <c r="H72" s="366">
        <v>78.180000000000007</v>
      </c>
      <c r="I72" s="365"/>
      <c r="J72" s="365"/>
      <c r="K72" s="365"/>
      <c r="L72" s="365"/>
      <c r="M72" s="365"/>
      <c r="N72" s="365"/>
      <c r="P72" s="138">
        <f t="shared" si="27"/>
        <v>80.74166666666666</v>
      </c>
      <c r="R72" s="60" t="str">
        <f t="shared" si="28"/>
        <v>Tin</v>
      </c>
      <c r="S72" s="132">
        <f>'[13]Single Family'!$N$72*'[13]Single Family'!$N$16</f>
        <v>0.88311299999999993</v>
      </c>
      <c r="T72" s="133">
        <f t="shared" si="29"/>
        <v>1.3322375</v>
      </c>
      <c r="U72" s="102">
        <f t="shared" si="30"/>
        <v>0.44912450000000004</v>
      </c>
    </row>
    <row r="73" spans="1:21" ht="12" x14ac:dyDescent="0.2">
      <c r="B73" s="60" t="s">
        <v>41</v>
      </c>
      <c r="C73" s="365">
        <v>100.47</v>
      </c>
      <c r="D73" s="365">
        <v>87.96</v>
      </c>
      <c r="E73" s="365">
        <v>109.23</v>
      </c>
      <c r="F73" s="365">
        <v>168.5</v>
      </c>
      <c r="G73" s="366">
        <v>78.83</v>
      </c>
      <c r="H73" s="366">
        <v>75.260000000000005</v>
      </c>
      <c r="I73" s="365"/>
      <c r="J73" s="365"/>
      <c r="K73" s="365"/>
      <c r="L73" s="365"/>
      <c r="M73" s="365"/>
      <c r="N73" s="365"/>
      <c r="P73" s="138">
        <f t="shared" si="27"/>
        <v>103.375</v>
      </c>
      <c r="R73" s="60" t="str">
        <f t="shared" si="28"/>
        <v>Plastic</v>
      </c>
      <c r="S73" s="132">
        <f>'[13]Single Family'!$N$73*'[13]Single Family'!$N$17</f>
        <v>4.6139240000000008</v>
      </c>
      <c r="T73" s="133">
        <f t="shared" si="29"/>
        <v>4.6415375000000001</v>
      </c>
      <c r="U73" s="102">
        <f t="shared" si="30"/>
        <v>2.7613499999999291E-2</v>
      </c>
    </row>
    <row r="74" spans="1:21" ht="12" x14ac:dyDescent="0.2">
      <c r="B74" s="60" t="s">
        <v>42</v>
      </c>
      <c r="C74" s="365">
        <v>1082.8499999999999</v>
      </c>
      <c r="D74" s="365">
        <v>1119.26</v>
      </c>
      <c r="E74" s="365">
        <v>1065.1300000000001</v>
      </c>
      <c r="F74" s="365">
        <v>1065.1300000000001</v>
      </c>
      <c r="G74" s="366">
        <v>940.58</v>
      </c>
      <c r="H74" s="366">
        <v>918.23</v>
      </c>
      <c r="I74" s="365"/>
      <c r="J74" s="365"/>
      <c r="K74" s="365"/>
      <c r="L74" s="365"/>
      <c r="M74" s="365"/>
      <c r="N74" s="365"/>
      <c r="P74" s="138">
        <f t="shared" si="27"/>
        <v>1031.8633333333335</v>
      </c>
      <c r="R74" s="60" t="str">
        <f t="shared" si="28"/>
        <v>Aluminum</v>
      </c>
      <c r="S74" s="132">
        <f>'[13]Single Family'!$N$74*'[13]Single Family'!$N$18</f>
        <v>5.7225000000000001</v>
      </c>
      <c r="T74" s="133">
        <f t="shared" si="29"/>
        <v>7.7389750000000008</v>
      </c>
      <c r="U74" s="102">
        <f t="shared" si="30"/>
        <v>2.0164750000000007</v>
      </c>
    </row>
    <row r="75" spans="1:21" ht="12" x14ac:dyDescent="0.2">
      <c r="B75" s="60" t="s">
        <v>43</v>
      </c>
      <c r="C75" s="365"/>
      <c r="D75" s="365"/>
      <c r="E75" s="365"/>
      <c r="F75" s="365"/>
      <c r="G75" s="366"/>
      <c r="H75" s="366"/>
      <c r="I75" s="365"/>
      <c r="J75" s="365"/>
      <c r="K75" s="365"/>
      <c r="L75" s="365"/>
      <c r="M75" s="365"/>
      <c r="N75" s="365"/>
      <c r="P75" s="138" t="e">
        <f t="shared" si="27"/>
        <v>#DIV/0!</v>
      </c>
      <c r="R75" s="60" t="str">
        <f t="shared" si="28"/>
        <v>Ferris Metal</v>
      </c>
      <c r="S75" s="132">
        <v>0</v>
      </c>
      <c r="T75" s="133" t="e">
        <f t="shared" si="29"/>
        <v>#DIV/0!</v>
      </c>
      <c r="U75" s="102" t="e">
        <f t="shared" si="30"/>
        <v>#DIV/0!</v>
      </c>
    </row>
    <row r="76" spans="1:21" ht="12" x14ac:dyDescent="0.2">
      <c r="B76" s="60" t="s">
        <v>36</v>
      </c>
      <c r="C76" s="365">
        <v>-25.26</v>
      </c>
      <c r="D76" s="365">
        <v>-19.13</v>
      </c>
      <c r="E76" s="365">
        <v>-3.5700000000000003</v>
      </c>
      <c r="F76" s="365">
        <v>0.74</v>
      </c>
      <c r="G76" s="366">
        <v>-14.63</v>
      </c>
      <c r="H76" s="366">
        <v>-16.670000000000002</v>
      </c>
      <c r="I76" s="365"/>
      <c r="J76" s="365"/>
      <c r="K76" s="365"/>
      <c r="L76" s="365"/>
      <c r="M76" s="365"/>
      <c r="N76" s="365"/>
      <c r="P76" s="138">
        <f t="shared" si="27"/>
        <v>-13.086666666666668</v>
      </c>
      <c r="R76" s="60" t="str">
        <f t="shared" si="28"/>
        <v>Sorted Glass</v>
      </c>
      <c r="S76" s="132">
        <f>'[13]Single Family'!$N$76*'[13]Single Family'!$N$20</f>
        <v>-1.1774880000000001</v>
      </c>
      <c r="T76" s="133">
        <f t="shared" si="29"/>
        <v>-2.313722666666667</v>
      </c>
      <c r="U76" s="102">
        <f t="shared" si="30"/>
        <v>-1.1362346666666669</v>
      </c>
    </row>
    <row r="77" spans="1:21" ht="12" x14ac:dyDescent="0.2">
      <c r="B77" s="60" t="s">
        <v>44</v>
      </c>
      <c r="C77" s="364"/>
      <c r="D77" s="364"/>
      <c r="E77" s="364"/>
      <c r="F77" s="364"/>
      <c r="G77" s="367"/>
      <c r="H77" s="367"/>
      <c r="I77" s="364"/>
      <c r="J77" s="364"/>
      <c r="K77" s="364"/>
      <c r="L77" s="364"/>
      <c r="M77" s="364"/>
      <c r="N77" s="364"/>
      <c r="P77" s="138" t="e">
        <f t="shared" si="27"/>
        <v>#DIV/0!</v>
      </c>
      <c r="R77" s="60" t="str">
        <f t="shared" si="28"/>
        <v>Glass Contamination</v>
      </c>
      <c r="S77" s="132">
        <f>'[14]Single Family'!$N$77*'[14]Single Family'!$N$21</f>
        <v>0</v>
      </c>
      <c r="T77" s="133" t="e">
        <f t="shared" si="29"/>
        <v>#DIV/0!</v>
      </c>
      <c r="U77" s="102" t="e">
        <f t="shared" si="30"/>
        <v>#DIV/0!</v>
      </c>
    </row>
    <row r="78" spans="1:21" ht="12" x14ac:dyDescent="0.2">
      <c r="B78" s="60" t="s">
        <v>45</v>
      </c>
      <c r="C78" s="364">
        <v>-134.59</v>
      </c>
      <c r="D78" s="364">
        <v>-134.59</v>
      </c>
      <c r="E78" s="364">
        <v>-134.59</v>
      </c>
      <c r="F78" s="364">
        <v>-134.59</v>
      </c>
      <c r="G78" s="367">
        <v>-134.59</v>
      </c>
      <c r="H78" s="367">
        <v>-134.59</v>
      </c>
      <c r="I78" s="364"/>
      <c r="J78" s="364"/>
      <c r="K78" s="364"/>
      <c r="L78" s="364"/>
      <c r="M78" s="364"/>
      <c r="N78" s="364"/>
      <c r="P78" s="138">
        <f t="shared" si="27"/>
        <v>-134.59</v>
      </c>
      <c r="R78" s="60" t="str">
        <f t="shared" si="28"/>
        <v>Trash</v>
      </c>
      <c r="S78" s="132">
        <f>'[14]Single Family'!$N$78*'[14]Single Family'!$N$22</f>
        <v>-7.1260810000000161</v>
      </c>
      <c r="T78" s="133">
        <f t="shared" si="29"/>
        <v>-7.981187000000018</v>
      </c>
      <c r="U78" s="102">
        <f t="shared" si="30"/>
        <v>-0.85510600000000192</v>
      </c>
    </row>
    <row r="79" spans="1:21" ht="12.75" thickBot="1" x14ac:dyDescent="0.25">
      <c r="B79" s="60" t="s">
        <v>46</v>
      </c>
      <c r="C79" s="365">
        <v>-14.309999999999999</v>
      </c>
      <c r="D79" s="365">
        <v>2</v>
      </c>
      <c r="E79" s="365">
        <v>4.1900000000000004</v>
      </c>
      <c r="F79" s="365">
        <v>8.42</v>
      </c>
      <c r="G79" s="366">
        <v>26.9</v>
      </c>
      <c r="H79" s="366">
        <v>25.77</v>
      </c>
      <c r="I79" s="365"/>
      <c r="J79" s="365"/>
      <c r="K79" s="365"/>
      <c r="L79" s="364"/>
      <c r="M79" s="364"/>
      <c r="N79" s="364"/>
      <c r="O79" s="102">
        <f>SUM(C69:N79)</f>
        <v>6830.9699999999975</v>
      </c>
      <c r="P79" s="138">
        <f t="shared" si="27"/>
        <v>8.8283333333333331</v>
      </c>
      <c r="R79" s="60" t="str">
        <f t="shared" si="28"/>
        <v>Mixed Paper</v>
      </c>
      <c r="S79" s="132">
        <f>'[13]Single Family'!$N$79*'[13]Single Family'!$N$23</f>
        <v>20.604532199999998</v>
      </c>
      <c r="T79" s="133">
        <f t="shared" si="29"/>
        <v>4.5624826666666669</v>
      </c>
      <c r="U79" s="102">
        <f t="shared" si="30"/>
        <v>-16.04204953333333</v>
      </c>
    </row>
    <row r="80" spans="1:21" ht="11.25" customHeight="1" thickBot="1" x14ac:dyDescent="0.25">
      <c r="R80" s="134" t="s">
        <v>72</v>
      </c>
      <c r="S80" s="135">
        <f>SUMPRODUCT('[13]Single Family'!$N$69:$N$79,'[13]Single Family'!$N$13:$N$23)</f>
        <v>53.274215799999979</v>
      </c>
      <c r="T80" s="136" t="e">
        <f>SUMPRODUCT(P69:P79,N13:N23)</f>
        <v>#DIV/0!</v>
      </c>
      <c r="U80" s="102" t="e">
        <f t="shared" si="30"/>
        <v>#DIV/0!</v>
      </c>
    </row>
    <row r="81" spans="1:20" x14ac:dyDescent="0.2">
      <c r="A81" s="134" t="s">
        <v>51</v>
      </c>
      <c r="Q81" s="89"/>
      <c r="R81" s="89"/>
      <c r="S81" s="89"/>
      <c r="T81" s="89"/>
    </row>
    <row r="82" spans="1:20" x14ac:dyDescent="0.2">
      <c r="B82" s="60" t="s">
        <v>24</v>
      </c>
      <c r="C82" s="73">
        <f t="shared" ref="C82:N82" si="31">+C69*C55</f>
        <v>0</v>
      </c>
      <c r="D82" s="70">
        <f t="shared" si="31"/>
        <v>0</v>
      </c>
      <c r="E82" s="70">
        <f t="shared" si="31"/>
        <v>0</v>
      </c>
      <c r="F82" s="70">
        <f t="shared" si="31"/>
        <v>0</v>
      </c>
      <c r="G82" s="70">
        <f t="shared" si="31"/>
        <v>0</v>
      </c>
      <c r="H82" s="70">
        <f t="shared" si="31"/>
        <v>0</v>
      </c>
      <c r="I82" s="70">
        <f t="shared" si="31"/>
        <v>0</v>
      </c>
      <c r="J82" s="70">
        <f t="shared" si="31"/>
        <v>0</v>
      </c>
      <c r="K82" s="70">
        <f t="shared" si="31"/>
        <v>0</v>
      </c>
      <c r="L82" s="70">
        <f t="shared" si="31"/>
        <v>0</v>
      </c>
      <c r="M82" s="70">
        <f t="shared" si="31"/>
        <v>0</v>
      </c>
      <c r="N82" s="70">
        <f t="shared" si="31"/>
        <v>0</v>
      </c>
      <c r="Q82" s="89" t="s">
        <v>73</v>
      </c>
      <c r="R82" s="89"/>
      <c r="S82" s="89"/>
      <c r="T82" s="144" t="e">
        <f>+T80-S80</f>
        <v>#DIV/0!</v>
      </c>
    </row>
    <row r="83" spans="1:20" x14ac:dyDescent="0.2">
      <c r="B83" s="60" t="s">
        <v>28</v>
      </c>
      <c r="C83" s="73">
        <f t="shared" ref="C83:N83" si="32">+C70*C56</f>
        <v>4832.7703142399996</v>
      </c>
      <c r="D83" s="70">
        <f t="shared" si="32"/>
        <v>6647.8344332399993</v>
      </c>
      <c r="E83" s="70">
        <f t="shared" si="32"/>
        <v>7903.6396639200002</v>
      </c>
      <c r="F83" s="70">
        <f t="shared" si="32"/>
        <v>7293.8662790400003</v>
      </c>
      <c r="G83" s="70">
        <f t="shared" si="32"/>
        <v>6260.1003333000008</v>
      </c>
      <c r="H83" s="70">
        <f t="shared" si="32"/>
        <v>8393.257635840002</v>
      </c>
      <c r="I83" s="70">
        <f t="shared" si="32"/>
        <v>0</v>
      </c>
      <c r="J83" s="70">
        <f t="shared" si="32"/>
        <v>0</v>
      </c>
      <c r="K83" s="70">
        <f t="shared" si="32"/>
        <v>0</v>
      </c>
      <c r="L83" s="70">
        <f t="shared" si="32"/>
        <v>0</v>
      </c>
      <c r="M83" s="70">
        <f t="shared" si="32"/>
        <v>0</v>
      </c>
      <c r="N83" s="70">
        <f t="shared" si="32"/>
        <v>0</v>
      </c>
      <c r="Q83" s="89" t="s">
        <v>217</v>
      </c>
      <c r="R83" s="89"/>
      <c r="S83" s="89"/>
      <c r="T83" s="145">
        <f>SUM(C7:N7, [15]Multi_Family!$C$7:$N$7,'[16]Single Family'!$C$7:$N$7, [17]Multi_Family!$C$7:$N$7, '[18]Single Family'!$C$7:$N$7, [19]Multi_Family!$C$7:$N$7)</f>
        <v>10042.370000000003</v>
      </c>
    </row>
    <row r="84" spans="1:20" x14ac:dyDescent="0.2">
      <c r="B84" s="60" t="s">
        <v>39</v>
      </c>
      <c r="C84" s="70">
        <f t="shared" ref="C84:D92" si="33">+C71*C57</f>
        <v>0</v>
      </c>
      <c r="D84" s="70">
        <f t="shared" si="33"/>
        <v>0</v>
      </c>
      <c r="E84" s="70" t="s">
        <v>77</v>
      </c>
      <c r="F84" s="70" t="s">
        <v>77</v>
      </c>
      <c r="G84" s="70" t="s">
        <v>77</v>
      </c>
      <c r="H84" s="70">
        <f t="shared" ref="H84:H92" si="34">+H71*H57</f>
        <v>0</v>
      </c>
      <c r="I84" s="70" t="s">
        <v>77</v>
      </c>
      <c r="J84" s="70" t="s">
        <v>77</v>
      </c>
      <c r="K84" s="70" t="s">
        <v>77</v>
      </c>
      <c r="L84" s="70" t="s">
        <v>77</v>
      </c>
      <c r="M84" s="70" t="s">
        <v>77</v>
      </c>
      <c r="N84" s="70" t="s">
        <v>77</v>
      </c>
      <c r="Q84" s="146" t="s">
        <v>216</v>
      </c>
      <c r="R84" s="146"/>
      <c r="S84" s="89"/>
      <c r="T84" s="148">
        <f>T83/8</f>
        <v>1255.2962500000003</v>
      </c>
    </row>
    <row r="85" spans="1:20" x14ac:dyDescent="0.2">
      <c r="B85" s="60" t="s">
        <v>40</v>
      </c>
      <c r="C85" s="73">
        <f t="shared" si="33"/>
        <v>931.97316960000001</v>
      </c>
      <c r="D85" s="70">
        <f t="shared" si="33"/>
        <v>953.05820610000001</v>
      </c>
      <c r="E85" s="70">
        <f t="shared" ref="E85:G87" si="35">+E72*E58</f>
        <v>974.54506379999998</v>
      </c>
      <c r="F85" s="70">
        <f t="shared" si="35"/>
        <v>688.83396450000009</v>
      </c>
      <c r="G85" s="70">
        <f t="shared" si="35"/>
        <v>632.29210275000014</v>
      </c>
      <c r="H85" s="70">
        <f t="shared" si="34"/>
        <v>847.62638730000015</v>
      </c>
      <c r="I85" s="70">
        <f t="shared" ref="I85:N87" si="36">+I72*I58</f>
        <v>0</v>
      </c>
      <c r="J85" s="70">
        <f t="shared" si="36"/>
        <v>0</v>
      </c>
      <c r="K85" s="70">
        <f t="shared" si="36"/>
        <v>0</v>
      </c>
      <c r="L85" s="70">
        <f t="shared" si="36"/>
        <v>0</v>
      </c>
      <c r="M85" s="70">
        <f t="shared" si="36"/>
        <v>0</v>
      </c>
      <c r="N85" s="70">
        <f t="shared" si="36"/>
        <v>0</v>
      </c>
      <c r="Q85" s="89" t="s">
        <v>74</v>
      </c>
      <c r="R85" s="89"/>
      <c r="S85" s="89"/>
      <c r="T85" s="147" t="e">
        <f>+T82*T83</f>
        <v>#DIV/0!</v>
      </c>
    </row>
    <row r="86" spans="1:20" x14ac:dyDescent="0.2">
      <c r="B86" s="60" t="s">
        <v>41</v>
      </c>
      <c r="C86" s="73">
        <f t="shared" si="33"/>
        <v>2811.1389454799996</v>
      </c>
      <c r="D86" s="70">
        <f t="shared" si="33"/>
        <v>2451.0791104800001</v>
      </c>
      <c r="E86" s="70">
        <f t="shared" si="35"/>
        <v>3181.1094407400001</v>
      </c>
      <c r="F86" s="70">
        <f t="shared" si="35"/>
        <v>5106.662437</v>
      </c>
      <c r="G86" s="70">
        <f t="shared" si="35"/>
        <v>1947.3793487300004</v>
      </c>
      <c r="H86" s="70">
        <f t="shared" si="34"/>
        <v>2220.4214436600005</v>
      </c>
      <c r="I86" s="70">
        <f t="shared" si="36"/>
        <v>0</v>
      </c>
      <c r="J86" s="70">
        <f t="shared" si="36"/>
        <v>0</v>
      </c>
      <c r="K86" s="70">
        <f t="shared" si="36"/>
        <v>0</v>
      </c>
      <c r="L86" s="70">
        <f t="shared" si="36"/>
        <v>0</v>
      </c>
      <c r="M86" s="70">
        <f t="shared" si="36"/>
        <v>0</v>
      </c>
      <c r="N86" s="70">
        <f t="shared" si="36"/>
        <v>0</v>
      </c>
      <c r="Q86" s="89"/>
      <c r="R86" s="89"/>
      <c r="S86" s="89"/>
      <c r="T86" s="89"/>
    </row>
    <row r="87" spans="1:20" x14ac:dyDescent="0.2">
      <c r="B87" s="60" t="s">
        <v>42</v>
      </c>
      <c r="C87" s="73">
        <f t="shared" si="33"/>
        <v>5060.916044999999</v>
      </c>
      <c r="D87" s="70">
        <f t="shared" si="33"/>
        <v>5209.763559</v>
      </c>
      <c r="E87" s="70">
        <f t="shared" si="35"/>
        <v>5181.4846545000009</v>
      </c>
      <c r="F87" s="70">
        <f t="shared" si="35"/>
        <v>5392.0608555000008</v>
      </c>
      <c r="G87" s="70">
        <f t="shared" si="35"/>
        <v>3881.2328265000006</v>
      </c>
      <c r="H87" s="70">
        <f t="shared" si="34"/>
        <v>4525.1981302500008</v>
      </c>
      <c r="I87" s="70">
        <f t="shared" si="36"/>
        <v>0</v>
      </c>
      <c r="J87" s="70">
        <f t="shared" si="36"/>
        <v>0</v>
      </c>
      <c r="K87" s="70">
        <f t="shared" si="36"/>
        <v>0</v>
      </c>
      <c r="L87" s="70">
        <f t="shared" si="36"/>
        <v>0</v>
      </c>
      <c r="M87" s="70">
        <f t="shared" si="36"/>
        <v>0</v>
      </c>
      <c r="N87" s="70">
        <f t="shared" si="36"/>
        <v>0</v>
      </c>
    </row>
    <row r="88" spans="1:20" x14ac:dyDescent="0.2">
      <c r="B88" s="60" t="s">
        <v>43</v>
      </c>
      <c r="C88" s="73">
        <f t="shared" si="33"/>
        <v>0</v>
      </c>
      <c r="D88" s="70">
        <f t="shared" si="33"/>
        <v>0</v>
      </c>
      <c r="E88" s="70" t="s">
        <v>77</v>
      </c>
      <c r="F88" s="70" t="s">
        <v>77</v>
      </c>
      <c r="G88" s="70" t="s">
        <v>77</v>
      </c>
      <c r="H88" s="70">
        <f t="shared" si="34"/>
        <v>0</v>
      </c>
      <c r="I88" s="70" t="s">
        <v>77</v>
      </c>
      <c r="J88" s="70" t="s">
        <v>77</v>
      </c>
      <c r="K88" s="70" t="s">
        <v>77</v>
      </c>
      <c r="L88" s="70" t="s">
        <v>77</v>
      </c>
      <c r="M88" s="70" t="s">
        <v>77</v>
      </c>
      <c r="N88" s="70" t="s">
        <v>77</v>
      </c>
      <c r="P88" s="105"/>
      <c r="Q88" s="105"/>
    </row>
    <row r="89" spans="1:20" ht="12.75" x14ac:dyDescent="0.2">
      <c r="B89" s="60" t="s">
        <v>36</v>
      </c>
      <c r="C89" s="73">
        <f t="shared" si="33"/>
        <v>-2783.0126188800004</v>
      </c>
      <c r="D89" s="70">
        <f t="shared" si="33"/>
        <v>-2099.0510340800001</v>
      </c>
      <c r="E89" s="70">
        <f t="shared" ref="E89:G92" si="37">+E76*E62</f>
        <v>-409.39337712000003</v>
      </c>
      <c r="F89" s="70">
        <f t="shared" si="37"/>
        <v>88.308983359999999</v>
      </c>
      <c r="G89" s="70">
        <f t="shared" si="37"/>
        <v>-1423.1126509600003</v>
      </c>
      <c r="H89" s="70">
        <f t="shared" si="34"/>
        <v>-1936.6124450400005</v>
      </c>
      <c r="I89" s="70">
        <f t="shared" ref="I89:N92" si="38">+I76*I62</f>
        <v>0</v>
      </c>
      <c r="J89" s="70">
        <f t="shared" si="38"/>
        <v>0</v>
      </c>
      <c r="K89" s="70">
        <f t="shared" si="38"/>
        <v>0</v>
      </c>
      <c r="L89" s="70">
        <f t="shared" si="38"/>
        <v>0</v>
      </c>
      <c r="M89" s="70">
        <f t="shared" si="38"/>
        <v>0</v>
      </c>
      <c r="N89" s="70">
        <f t="shared" si="38"/>
        <v>0</v>
      </c>
      <c r="P89" s="53"/>
      <c r="Q89" s="105"/>
      <c r="R89" s="105"/>
      <c r="S89" s="105"/>
    </row>
    <row r="90" spans="1:20" ht="12.75" x14ac:dyDescent="0.2">
      <c r="B90" s="60" t="s">
        <v>44</v>
      </c>
      <c r="C90" s="73">
        <f t="shared" si="33"/>
        <v>0</v>
      </c>
      <c r="D90" s="70">
        <f t="shared" si="33"/>
        <v>0</v>
      </c>
      <c r="E90" s="70">
        <f t="shared" si="37"/>
        <v>0</v>
      </c>
      <c r="F90" s="70">
        <f t="shared" si="37"/>
        <v>0</v>
      </c>
      <c r="G90" s="70">
        <f t="shared" si="37"/>
        <v>0</v>
      </c>
      <c r="H90" s="70">
        <f t="shared" si="34"/>
        <v>0</v>
      </c>
      <c r="I90" s="70">
        <f t="shared" si="38"/>
        <v>0</v>
      </c>
      <c r="J90" s="70">
        <f t="shared" si="38"/>
        <v>0</v>
      </c>
      <c r="K90" s="70">
        <f t="shared" si="38"/>
        <v>0</v>
      </c>
      <c r="L90" s="70">
        <f t="shared" si="38"/>
        <v>0</v>
      </c>
      <c r="M90" s="70">
        <f t="shared" si="38"/>
        <v>0</v>
      </c>
      <c r="N90" s="70">
        <f t="shared" si="38"/>
        <v>0</v>
      </c>
      <c r="P90" s="53"/>
      <c r="Q90" s="105"/>
      <c r="R90" s="53"/>
      <c r="S90" s="105"/>
    </row>
    <row r="91" spans="1:20" ht="12.75" x14ac:dyDescent="0.2">
      <c r="B91" s="60" t="s">
        <v>45</v>
      </c>
      <c r="C91" s="73">
        <f t="shared" si="33"/>
        <v>-4973.5564909200111</v>
      </c>
      <c r="D91" s="70">
        <f t="shared" si="33"/>
        <v>-4953.284275940011</v>
      </c>
      <c r="E91" s="70">
        <f t="shared" si="37"/>
        <v>-5176.7575119400117</v>
      </c>
      <c r="F91" s="70">
        <f t="shared" si="37"/>
        <v>-5387.1416012600121</v>
      </c>
      <c r="G91" s="70">
        <f t="shared" si="37"/>
        <v>-4391.1692755300101</v>
      </c>
      <c r="H91" s="70">
        <f t="shared" si="34"/>
        <v>-5244.3581658300118</v>
      </c>
      <c r="I91" s="70">
        <f t="shared" si="38"/>
        <v>0</v>
      </c>
      <c r="J91" s="70">
        <f t="shared" si="38"/>
        <v>0</v>
      </c>
      <c r="K91" s="70">
        <f t="shared" si="38"/>
        <v>0</v>
      </c>
      <c r="L91" s="70">
        <f t="shared" si="38"/>
        <v>0</v>
      </c>
      <c r="M91" s="70">
        <f t="shared" si="38"/>
        <v>0</v>
      </c>
      <c r="N91" s="70">
        <f t="shared" si="38"/>
        <v>0</v>
      </c>
      <c r="P91" s="53"/>
      <c r="Q91" s="105"/>
      <c r="R91" s="53"/>
      <c r="S91" s="105"/>
    </row>
    <row r="92" spans="1:20" ht="12.75" x14ac:dyDescent="0.2">
      <c r="B92" s="60" t="s">
        <v>46</v>
      </c>
      <c r="C92" s="98">
        <f t="shared" si="33"/>
        <v>-4608.5224492799989</v>
      </c>
      <c r="D92" s="87">
        <f t="shared" si="33"/>
        <v>641.47283199999981</v>
      </c>
      <c r="E92" s="87">
        <f t="shared" si="37"/>
        <v>1404.5165590399997</v>
      </c>
      <c r="F92" s="87">
        <f t="shared" si="37"/>
        <v>2937.1457708799994</v>
      </c>
      <c r="G92" s="87">
        <f t="shared" si="37"/>
        <v>7648.6973647999966</v>
      </c>
      <c r="H92" s="70">
        <f t="shared" si="34"/>
        <v>8751.0825662399966</v>
      </c>
      <c r="I92" s="87">
        <f t="shared" si="38"/>
        <v>0</v>
      </c>
      <c r="J92" s="87">
        <f t="shared" si="38"/>
        <v>0</v>
      </c>
      <c r="K92" s="70">
        <f t="shared" si="38"/>
        <v>0</v>
      </c>
      <c r="L92" s="70">
        <f t="shared" si="38"/>
        <v>0</v>
      </c>
      <c r="M92" s="70">
        <f t="shared" si="38"/>
        <v>0</v>
      </c>
      <c r="N92" s="70">
        <f t="shared" si="38"/>
        <v>0</v>
      </c>
      <c r="P92" s="53"/>
      <c r="Q92" s="105"/>
      <c r="R92" s="53"/>
      <c r="S92" s="105"/>
    </row>
    <row r="93" spans="1:20" ht="12.75" x14ac:dyDescent="0.2">
      <c r="A93" s="134" t="s">
        <v>52</v>
      </c>
      <c r="B93" s="134"/>
      <c r="C93" s="177">
        <f t="shared" ref="C93:N93" si="39">SUM(C82:C92)</f>
        <v>1271.706915239989</v>
      </c>
      <c r="D93" s="178">
        <f t="shared" si="39"/>
        <v>8850.8728307999882</v>
      </c>
      <c r="E93" s="178">
        <f t="shared" si="39"/>
        <v>13059.14449293999</v>
      </c>
      <c r="F93" s="178">
        <f t="shared" si="39"/>
        <v>16119.736689019986</v>
      </c>
      <c r="G93" s="178">
        <f t="shared" si="39"/>
        <v>14555.420049589988</v>
      </c>
      <c r="H93" s="178">
        <f t="shared" si="39"/>
        <v>17556.615552419989</v>
      </c>
      <c r="I93" s="178">
        <f t="shared" si="39"/>
        <v>0</v>
      </c>
      <c r="J93" s="178">
        <f t="shared" si="39"/>
        <v>0</v>
      </c>
      <c r="K93" s="179">
        <f t="shared" si="39"/>
        <v>0</v>
      </c>
      <c r="L93" s="179">
        <f t="shared" si="39"/>
        <v>0</v>
      </c>
      <c r="M93" s="179">
        <f t="shared" si="39"/>
        <v>0</v>
      </c>
      <c r="N93" s="179">
        <f t="shared" si="39"/>
        <v>0</v>
      </c>
      <c r="O93" s="102">
        <f>SUM(C93:N93)</f>
        <v>71413.496530009928</v>
      </c>
      <c r="P93" s="379">
        <f>O93/2</f>
        <v>35706.748265004964</v>
      </c>
      <c r="Q93" s="105"/>
      <c r="R93" s="53"/>
      <c r="S93" s="105"/>
    </row>
    <row r="94" spans="1:20" ht="12.75" x14ac:dyDescent="0.2">
      <c r="A94" s="134" t="s">
        <v>53</v>
      </c>
      <c r="B94" s="134"/>
      <c r="C94" s="177">
        <f t="shared" ref="C94:N94" si="40">+C93/C66</f>
        <v>2.0407389999999825</v>
      </c>
      <c r="D94" s="178">
        <f t="shared" si="40"/>
        <v>14.261339999999981</v>
      </c>
      <c r="E94" s="178">
        <f t="shared" si="40"/>
        <v>20.133736999999982</v>
      </c>
      <c r="F94" s="178">
        <f t="shared" si="40"/>
        <v>23.88179899999998</v>
      </c>
      <c r="G94" s="178">
        <f t="shared" si="40"/>
        <v>26.455260999999975</v>
      </c>
      <c r="H94" s="178">
        <f t="shared" si="40"/>
        <v>26.718737999999984</v>
      </c>
      <c r="I94" s="178" t="e">
        <f t="shared" si="40"/>
        <v>#DIV/0!</v>
      </c>
      <c r="J94" s="178" t="e">
        <f t="shared" si="40"/>
        <v>#DIV/0!</v>
      </c>
      <c r="K94" s="70" t="e">
        <f t="shared" si="40"/>
        <v>#DIV/0!</v>
      </c>
      <c r="L94" s="70" t="e">
        <f t="shared" si="40"/>
        <v>#DIV/0!</v>
      </c>
      <c r="M94" s="70" t="e">
        <f t="shared" si="40"/>
        <v>#DIV/0!</v>
      </c>
      <c r="N94" s="70" t="e">
        <f t="shared" si="40"/>
        <v>#DIV/0!</v>
      </c>
      <c r="P94" s="53"/>
      <c r="Q94" s="105"/>
      <c r="R94" s="53"/>
      <c r="S94" s="105"/>
    </row>
    <row r="95" spans="1:20" ht="11.25" customHeight="1" x14ac:dyDescent="0.2">
      <c r="C95" s="102"/>
      <c r="D95" s="102"/>
      <c r="E95" s="102"/>
      <c r="F95" s="102"/>
      <c r="G95" s="102"/>
      <c r="H95" s="102"/>
      <c r="I95" s="102"/>
      <c r="J95" s="102"/>
      <c r="K95" s="102"/>
      <c r="L95" s="102"/>
      <c r="M95" s="102"/>
      <c r="N95" s="102"/>
      <c r="P95" s="53"/>
      <c r="Q95" s="105"/>
      <c r="R95" s="53"/>
      <c r="S95" s="105"/>
    </row>
    <row r="96" spans="1:20" ht="12.75" x14ac:dyDescent="0.2">
      <c r="A96" s="134"/>
      <c r="C96" s="102"/>
      <c r="D96" s="102"/>
      <c r="E96" s="102"/>
      <c r="F96" s="102"/>
      <c r="G96" s="102"/>
      <c r="H96" s="102"/>
      <c r="I96" s="102"/>
      <c r="J96" s="102"/>
      <c r="K96" s="102"/>
      <c r="L96" s="102"/>
      <c r="M96" s="102"/>
      <c r="N96" s="102"/>
      <c r="P96" s="53"/>
      <c r="Q96" s="105"/>
      <c r="R96" s="53"/>
      <c r="S96" s="105"/>
    </row>
    <row r="97" spans="1:19" ht="12.75" x14ac:dyDescent="0.2">
      <c r="C97" s="103"/>
      <c r="D97" s="103"/>
      <c r="E97" s="103"/>
      <c r="F97" s="103"/>
      <c r="G97" s="103"/>
      <c r="H97" s="103"/>
      <c r="I97" s="103"/>
      <c r="J97" s="103"/>
      <c r="K97" s="103"/>
      <c r="L97" s="103"/>
      <c r="M97" s="103"/>
      <c r="N97" s="103"/>
      <c r="P97" s="105"/>
      <c r="Q97" s="105"/>
      <c r="R97" s="53"/>
      <c r="S97" s="105"/>
    </row>
    <row r="98" spans="1:19" x14ac:dyDescent="0.2">
      <c r="A98" s="134"/>
      <c r="B98" s="134"/>
      <c r="C98" s="177"/>
      <c r="D98" s="177"/>
      <c r="E98" s="177"/>
      <c r="F98" s="177"/>
      <c r="G98" s="177"/>
      <c r="H98" s="177"/>
      <c r="I98" s="177"/>
      <c r="J98" s="181"/>
    </row>
    <row r="99" spans="1:19" ht="8.1" customHeight="1" x14ac:dyDescent="0.2">
      <c r="C99" s="105"/>
      <c r="D99" s="105"/>
      <c r="E99" s="105"/>
      <c r="F99" s="105"/>
      <c r="G99" s="105"/>
      <c r="H99" s="105"/>
      <c r="I99" s="105"/>
      <c r="J99" s="105"/>
    </row>
    <row r="100" spans="1:19" x14ac:dyDescent="0.2">
      <c r="A100" s="134"/>
      <c r="B100" s="134"/>
      <c r="C100" s="181"/>
      <c r="D100" s="181"/>
      <c r="E100" s="181"/>
      <c r="F100" s="181"/>
      <c r="G100" s="181"/>
      <c r="H100" s="181"/>
      <c r="I100" s="181"/>
      <c r="J100" s="181"/>
    </row>
    <row r="101" spans="1:19" ht="8.1" customHeight="1" x14ac:dyDescent="0.2">
      <c r="C101" s="105"/>
      <c r="D101" s="105"/>
      <c r="E101" s="105"/>
      <c r="F101" s="105"/>
      <c r="G101" s="105"/>
      <c r="H101" s="105"/>
      <c r="I101" s="105"/>
      <c r="J101" s="105"/>
    </row>
    <row r="102" spans="1:19" x14ac:dyDescent="0.2">
      <c r="A102" s="134"/>
      <c r="C102" s="103"/>
      <c r="D102" s="103"/>
      <c r="E102" s="103"/>
      <c r="F102" s="103"/>
      <c r="G102" s="103"/>
      <c r="H102" s="103"/>
      <c r="I102" s="103"/>
      <c r="J102" s="106"/>
    </row>
  </sheetData>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A109"/>
  <sheetViews>
    <sheetView showGridLines="0" zoomScaleNormal="100" zoomScalePageLayoutView="90" workbookViewId="0">
      <selection activeCell="O39" sqref="O39"/>
    </sheetView>
  </sheetViews>
  <sheetFormatPr defaultRowHeight="12.75" x14ac:dyDescent="0.2"/>
  <cols>
    <col min="1" max="1" width="24" style="5" customWidth="1"/>
    <col min="2" max="2" width="10.140625" style="5" customWidth="1"/>
    <col min="3" max="3" width="4.5703125" style="5" customWidth="1"/>
    <col min="4" max="4" width="11.28515625" style="5" customWidth="1"/>
    <col min="5" max="5" width="5.5703125" style="5" customWidth="1"/>
    <col min="6" max="6" width="13" style="5" customWidth="1"/>
    <col min="7" max="7" width="8.7109375" style="5" customWidth="1"/>
    <col min="8" max="8" width="4.7109375" style="5" bestFit="1" customWidth="1"/>
    <col min="9" max="9" width="10.42578125" style="5" customWidth="1"/>
    <col min="10" max="10" width="9.42578125" style="5" customWidth="1"/>
    <col min="11" max="11" width="5.42578125" style="5" bestFit="1" customWidth="1"/>
    <col min="12" max="14" width="9.5703125" style="5" customWidth="1"/>
    <col min="15" max="15" width="15.28515625" style="5" customWidth="1"/>
    <col min="16" max="16" width="36.7109375" style="5"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0</v>
      </c>
      <c r="B1" s="2"/>
      <c r="C1" s="2"/>
      <c r="D1" s="2"/>
      <c r="E1" s="2"/>
      <c r="F1" s="2"/>
      <c r="G1" s="3"/>
      <c r="H1" s="2"/>
      <c r="I1" s="2"/>
      <c r="J1" s="1" t="s">
        <v>58</v>
      </c>
      <c r="K1" s="2"/>
      <c r="L1" s="2"/>
      <c r="M1" s="2"/>
      <c r="N1" s="2"/>
      <c r="O1" s="2"/>
      <c r="P1" s="2"/>
      <c r="Q1" s="2"/>
      <c r="R1" s="2"/>
      <c r="S1" s="2"/>
      <c r="T1" s="2"/>
      <c r="U1" s="2"/>
      <c r="V1" s="2"/>
      <c r="W1" s="4"/>
      <c r="X1" s="4"/>
      <c r="Y1" s="4"/>
      <c r="Z1" s="4"/>
      <c r="AA1" s="4"/>
    </row>
    <row r="2" spans="1:27" x14ac:dyDescent="0.2">
      <c r="A2" s="6" t="s">
        <v>1</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2018</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2</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3</v>
      </c>
      <c r="G5" s="11"/>
      <c r="H5" s="11"/>
      <c r="I5" s="11"/>
      <c r="J5" s="11"/>
      <c r="K5" s="11"/>
      <c r="L5" s="2"/>
      <c r="M5" s="2"/>
      <c r="N5" s="2"/>
      <c r="O5" s="114" t="str">
        <f>"Total "&amp;F5</f>
        <v>Total Commodity</v>
      </c>
      <c r="P5" s="115"/>
      <c r="Q5" s="2"/>
      <c r="R5" s="2"/>
      <c r="S5" s="2"/>
      <c r="T5" s="2"/>
      <c r="U5" s="2"/>
      <c r="V5" s="13"/>
      <c r="W5" s="14"/>
      <c r="X5" s="14"/>
      <c r="Y5" s="14"/>
      <c r="AA5" s="14"/>
    </row>
    <row r="6" spans="1:27" s="16" customFormat="1" ht="11.25" x14ac:dyDescent="0.2">
      <c r="A6" s="15"/>
      <c r="B6" s="12"/>
      <c r="C6" s="12"/>
      <c r="D6" s="12" t="s">
        <v>3</v>
      </c>
      <c r="E6" s="12"/>
      <c r="F6" s="12" t="s">
        <v>4</v>
      </c>
      <c r="G6" s="12"/>
      <c r="H6" s="12"/>
      <c r="I6" s="12"/>
      <c r="J6" s="12" t="s">
        <v>5</v>
      </c>
      <c r="K6" s="12"/>
      <c r="O6" s="116" t="str">
        <f>+F6</f>
        <v>Revenue</v>
      </c>
      <c r="P6" s="117"/>
    </row>
    <row r="7" spans="1:27" s="16" customFormat="1" ht="11.25" x14ac:dyDescent="0.2">
      <c r="A7" s="15" t="s">
        <v>6</v>
      </c>
      <c r="B7" s="12" t="s">
        <v>7</v>
      </c>
      <c r="C7" s="12"/>
      <c r="D7" s="12" t="s">
        <v>4</v>
      </c>
      <c r="E7" s="12"/>
      <c r="F7" s="12" t="s">
        <v>8</v>
      </c>
      <c r="G7" s="12"/>
      <c r="H7" s="12"/>
      <c r="I7" s="12"/>
      <c r="J7" s="12" t="s">
        <v>7</v>
      </c>
      <c r="K7" s="12"/>
      <c r="O7" s="116" t="str">
        <f>+F7</f>
        <v>per Customer</v>
      </c>
      <c r="P7" s="117"/>
    </row>
    <row r="8" spans="1:27" s="16" customFormat="1" ht="11.25" x14ac:dyDescent="0.2">
      <c r="A8" s="17">
        <f>+'Single Family 2018'!C6</f>
        <v>42856</v>
      </c>
      <c r="B8" s="358">
        <v>20118</v>
      </c>
      <c r="C8" s="19"/>
      <c r="D8" s="20">
        <f>VLOOKUP(A8,'Value 2018'!$A$6:$O$17,15,)</f>
        <v>16328.784434559993</v>
      </c>
      <c r="E8" s="19"/>
      <c r="F8" s="73">
        <f>ROUND(D8/B8,2)</f>
        <v>0.81</v>
      </c>
      <c r="G8" s="19"/>
      <c r="H8" s="19"/>
      <c r="I8" s="19"/>
      <c r="J8" s="14">
        <f>+B8</f>
        <v>20118</v>
      </c>
      <c r="K8" s="13">
        <v>2017</v>
      </c>
      <c r="O8" s="118">
        <f>VLOOKUP(A8,'Value 2018'!$A$7:$N$18,13,FALSE)</f>
        <v>32657.568869119987</v>
      </c>
      <c r="P8" s="117"/>
    </row>
    <row r="9" spans="1:27" s="16" customFormat="1" ht="11.25" x14ac:dyDescent="0.2">
      <c r="A9" s="17">
        <f>'Value 2018'!A8</f>
        <v>42916</v>
      </c>
      <c r="B9" s="358">
        <v>20170</v>
      </c>
      <c r="C9" s="22"/>
      <c r="D9" s="20">
        <f>VLOOKUP(A9,'Value 2018'!$A$6:$O$17,15,)</f>
        <v>20501.409582804994</v>
      </c>
      <c r="E9" s="14"/>
      <c r="F9" s="70">
        <f>ROUND(D9/B9,2)</f>
        <v>1.02</v>
      </c>
      <c r="G9" s="14"/>
      <c r="H9" s="14"/>
      <c r="I9" s="14"/>
      <c r="J9" s="14">
        <f>+B9</f>
        <v>20170</v>
      </c>
      <c r="K9" s="13">
        <v>2017</v>
      </c>
      <c r="O9" s="118">
        <f>VLOOKUP(A9,'Value 2018'!$A$7:$N$18,13,FALSE)</f>
        <v>41002.819165609988</v>
      </c>
      <c r="P9" s="117"/>
    </row>
    <row r="10" spans="1:27" s="16" customFormat="1" ht="11.25" x14ac:dyDescent="0.2">
      <c r="A10" s="17">
        <f>'Value 2018'!A9</f>
        <v>42947</v>
      </c>
      <c r="B10" s="358">
        <v>20306</v>
      </c>
      <c r="C10" s="14"/>
      <c r="D10" s="20">
        <f>VLOOKUP(A10,'Value 2018'!$A$6:$O$17,15,)</f>
        <v>21847.388548499992</v>
      </c>
      <c r="E10" s="14"/>
      <c r="F10" s="70">
        <f>ROUND(D10/B10,2)</f>
        <v>1.08</v>
      </c>
      <c r="G10" s="14"/>
      <c r="H10" s="14"/>
      <c r="I10" s="14"/>
      <c r="J10" s="14">
        <f>+B10</f>
        <v>20306</v>
      </c>
      <c r="K10" s="13">
        <v>2017</v>
      </c>
      <c r="O10" s="118">
        <f>VLOOKUP(A10,'Value 2018'!$A$7:$N$18,13,FALSE)</f>
        <v>43694.777096999984</v>
      </c>
      <c r="P10" s="117"/>
    </row>
    <row r="11" spans="1:27" s="16" customFormat="1" ht="11.25" x14ac:dyDescent="0.2">
      <c r="B11" s="21"/>
      <c r="C11" s="14"/>
      <c r="E11" s="14"/>
      <c r="F11" s="73"/>
      <c r="G11" s="24"/>
      <c r="H11" s="22"/>
      <c r="I11" s="14"/>
      <c r="J11" s="14"/>
      <c r="K11" s="13"/>
      <c r="O11" s="118"/>
      <c r="P11" s="117"/>
    </row>
    <row r="12" spans="1:27" s="16" customFormat="1" ht="11.25" x14ac:dyDescent="0.2">
      <c r="A12" s="17" t="s">
        <v>66</v>
      </c>
      <c r="B12" s="23">
        <f>SUM(B8:B11)</f>
        <v>60594</v>
      </c>
      <c r="C12" s="22" t="s">
        <v>9</v>
      </c>
      <c r="D12" s="72">
        <f>SUM(D8:D11)</f>
        <v>58677.582565864977</v>
      </c>
      <c r="E12" s="14"/>
      <c r="F12" s="72">
        <f>ROUND(D12/B12,2)</f>
        <v>0.97</v>
      </c>
      <c r="G12" s="14"/>
      <c r="H12" s="14"/>
      <c r="I12" s="14"/>
      <c r="J12" s="14"/>
      <c r="K12" s="13"/>
      <c r="O12" s="118"/>
      <c r="P12" s="117"/>
    </row>
    <row r="13" spans="1:27" s="16" customFormat="1" ht="11.25" x14ac:dyDescent="0.2">
      <c r="A13" s="17"/>
      <c r="B13" s="21"/>
      <c r="C13" s="14"/>
      <c r="E13" s="14"/>
      <c r="F13" s="73"/>
      <c r="G13" s="24"/>
      <c r="H13" s="22"/>
      <c r="I13" s="14"/>
      <c r="J13" s="14"/>
      <c r="K13" s="13"/>
      <c r="O13" s="118"/>
      <c r="P13" s="117"/>
      <c r="Q13" s="14"/>
      <c r="R13" s="14"/>
    </row>
    <row r="14" spans="1:27" s="16" customFormat="1" ht="11.25" x14ac:dyDescent="0.2">
      <c r="A14" s="17">
        <f>'Value 2018'!A10</f>
        <v>42978</v>
      </c>
      <c r="B14" s="357">
        <v>20405</v>
      </c>
      <c r="C14" s="14"/>
      <c r="D14" s="20">
        <f>VLOOKUP(A14,'Value 2018'!$A$6:$O$17,15,)</f>
        <v>20127.919646799986</v>
      </c>
      <c r="E14" s="14"/>
      <c r="F14" s="70">
        <f t="shared" ref="F14:F22" si="0">ROUND(D14/B14,2)</f>
        <v>0.99</v>
      </c>
      <c r="G14" s="24"/>
      <c r="H14" s="14"/>
      <c r="I14" s="14"/>
      <c r="J14" s="14">
        <f t="shared" ref="J14:J22" si="1">+B14</f>
        <v>20405</v>
      </c>
      <c r="K14" s="13">
        <v>2018</v>
      </c>
      <c r="O14" s="118">
        <f>VLOOKUP(A14,'Value 2018'!$A$7:$N$18,13,FALSE)</f>
        <v>40255.839293599973</v>
      </c>
      <c r="P14" s="117"/>
    </row>
    <row r="15" spans="1:27" s="16" customFormat="1" ht="11.25" x14ac:dyDescent="0.2">
      <c r="A15" s="17">
        <f>'Value 2018'!A11</f>
        <v>43008</v>
      </c>
      <c r="B15" s="357">
        <v>20361</v>
      </c>
      <c r="C15" s="14"/>
      <c r="D15" s="20">
        <f>VLOOKUP(A15,'Value 2018'!$A$6:$O$17,15,)</f>
        <v>15048.71804994999</v>
      </c>
      <c r="E15" s="14"/>
      <c r="F15" s="70">
        <f t="shared" si="0"/>
        <v>0.74</v>
      </c>
      <c r="G15" s="24"/>
      <c r="H15" s="14"/>
      <c r="I15" s="14"/>
      <c r="J15" s="14">
        <f t="shared" si="1"/>
        <v>20361</v>
      </c>
      <c r="K15" s="13">
        <v>2018</v>
      </c>
      <c r="O15" s="118">
        <f>VLOOKUP(A15,'Value 2018'!$A$7:$N$18,13,FALSE)</f>
        <v>30097.43609989998</v>
      </c>
      <c r="P15" s="117"/>
    </row>
    <row r="16" spans="1:27" s="16" customFormat="1" ht="11.25" x14ac:dyDescent="0.2">
      <c r="A16" s="17">
        <f>'Value 2018'!A12</f>
        <v>43039</v>
      </c>
      <c r="B16" s="357">
        <v>20404</v>
      </c>
      <c r="C16" s="14"/>
      <c r="D16" s="20">
        <f>VLOOKUP(A16,'Value 2018'!$A$6:$O$17,15,)</f>
        <v>11776.418353374993</v>
      </c>
      <c r="E16" s="14"/>
      <c r="F16" s="70">
        <f t="shared" si="0"/>
        <v>0.57999999999999996</v>
      </c>
      <c r="G16" s="24"/>
      <c r="H16" s="14"/>
      <c r="I16" s="14"/>
      <c r="J16" s="14">
        <f t="shared" si="1"/>
        <v>20404</v>
      </c>
      <c r="K16" s="13">
        <v>2018</v>
      </c>
      <c r="O16" s="118">
        <f>VLOOKUP(A16,'Value 2018'!$A$7:$N$18,13,FALSE)</f>
        <v>23552.836706749986</v>
      </c>
      <c r="P16" s="117"/>
      <c r="X16" s="14"/>
      <c r="Y16" s="14"/>
    </row>
    <row r="17" spans="1:27" s="16" customFormat="1" ht="11.25" x14ac:dyDescent="0.2">
      <c r="A17" s="17">
        <f>'Value 2018'!A13</f>
        <v>43069</v>
      </c>
      <c r="B17" s="357">
        <v>20584</v>
      </c>
      <c r="C17" s="14"/>
      <c r="D17" s="20">
        <f>VLOOKUP(A17,'Value 2018'!$A$6:$O$17,15,)</f>
        <v>15888.004674079992</v>
      </c>
      <c r="E17" s="14"/>
      <c r="F17" s="70">
        <f t="shared" si="0"/>
        <v>0.77</v>
      </c>
      <c r="G17" s="24"/>
      <c r="H17" s="14"/>
      <c r="I17" s="14"/>
      <c r="J17" s="14">
        <f t="shared" si="1"/>
        <v>20584</v>
      </c>
      <c r="K17" s="13">
        <v>2018</v>
      </c>
      <c r="L17" s="14"/>
      <c r="M17" s="14"/>
      <c r="N17" s="14"/>
      <c r="O17" s="118">
        <f>VLOOKUP(A17,'Value 2018'!$A$7:$N$18,13,FALSE)</f>
        <v>31776.009348159983</v>
      </c>
      <c r="P17" s="117"/>
      <c r="S17" s="14"/>
      <c r="T17" s="14"/>
      <c r="U17" s="14"/>
      <c r="V17" s="14"/>
      <c r="W17" s="14"/>
      <c r="Y17" s="14"/>
      <c r="AA17" s="14"/>
    </row>
    <row r="18" spans="1:27" s="16" customFormat="1" ht="11.25" x14ac:dyDescent="0.2">
      <c r="A18" s="17">
        <f>'Value 2018'!A14</f>
        <v>43100</v>
      </c>
      <c r="B18" s="357">
        <v>20512</v>
      </c>
      <c r="C18" s="14"/>
      <c r="D18" s="20">
        <f>VLOOKUP(A18,'Value 2018'!$A$6:$O$17,15,)</f>
        <v>14643.985532039991</v>
      </c>
      <c r="E18" s="14"/>
      <c r="F18" s="70">
        <f t="shared" si="0"/>
        <v>0.71</v>
      </c>
      <c r="G18" s="24"/>
      <c r="H18" s="22"/>
      <c r="I18" s="14"/>
      <c r="J18" s="14">
        <f t="shared" si="1"/>
        <v>20512</v>
      </c>
      <c r="K18" s="13">
        <v>2018</v>
      </c>
      <c r="O18" s="118">
        <f>VLOOKUP(A18,'Value 2018'!$A$7:$N$18,13,FALSE)</f>
        <v>29287.971064079982</v>
      </c>
      <c r="P18" s="117"/>
    </row>
    <row r="19" spans="1:27" s="16" customFormat="1" ht="11.25" x14ac:dyDescent="0.2">
      <c r="A19" s="17">
        <f>'Value 2018'!A15</f>
        <v>43131</v>
      </c>
      <c r="B19" s="357">
        <v>20534</v>
      </c>
      <c r="C19" s="14"/>
      <c r="D19" s="20">
        <f>VLOOKUP(A19,'Value 2018'!$A$6:$O$17,15,)</f>
        <v>16149.73852637999</v>
      </c>
      <c r="E19" s="14"/>
      <c r="F19" s="70">
        <f t="shared" si="0"/>
        <v>0.79</v>
      </c>
      <c r="G19" s="24"/>
      <c r="H19" s="22"/>
      <c r="I19" s="14"/>
      <c r="J19" s="14">
        <f t="shared" si="1"/>
        <v>20534</v>
      </c>
      <c r="K19" s="13">
        <v>2018</v>
      </c>
      <c r="O19" s="118">
        <f>VLOOKUP(A19,'Value 2018'!$A$7:$N$18,13,FALSE)</f>
        <v>32299.477052759979</v>
      </c>
      <c r="P19" s="117"/>
    </row>
    <row r="20" spans="1:27" s="16" customFormat="1" ht="11.25" x14ac:dyDescent="0.2">
      <c r="A20" s="17">
        <f>'Value 2018'!A16</f>
        <v>43159</v>
      </c>
      <c r="B20" s="357">
        <v>20452</v>
      </c>
      <c r="C20" s="14"/>
      <c r="D20" s="20">
        <f>VLOOKUP(A20,'Value 2018'!$A$6:$O$17,15,)</f>
        <v>1064.5062155249962</v>
      </c>
      <c r="E20" s="14"/>
      <c r="F20" s="70">
        <f t="shared" si="0"/>
        <v>0.05</v>
      </c>
      <c r="G20" s="24"/>
      <c r="H20" s="22"/>
      <c r="I20" s="14"/>
      <c r="J20" s="14">
        <f t="shared" si="1"/>
        <v>20452</v>
      </c>
      <c r="K20" s="13">
        <v>2018</v>
      </c>
      <c r="O20" s="118">
        <f>VLOOKUP(A20,'Value 2018'!$A$7:$N$18,13,FALSE)</f>
        <v>2129.0124310499923</v>
      </c>
      <c r="P20" s="34"/>
    </row>
    <row r="21" spans="1:27" s="16" customFormat="1" ht="11.25" x14ac:dyDescent="0.2">
      <c r="A21" s="17">
        <f>'Value 2018'!A17</f>
        <v>43190</v>
      </c>
      <c r="B21" s="357">
        <v>20582</v>
      </c>
      <c r="C21" s="14"/>
      <c r="D21" s="20">
        <f>VLOOKUP(A21,'Value 2018'!$A$6:$O$17,15,)</f>
        <v>1323.3535050999949</v>
      </c>
      <c r="E21" s="14"/>
      <c r="F21" s="70">
        <f t="shared" si="0"/>
        <v>0.06</v>
      </c>
      <c r="G21" s="24"/>
      <c r="H21" s="22"/>
      <c r="I21" s="14"/>
      <c r="J21" s="14">
        <f t="shared" si="1"/>
        <v>20582</v>
      </c>
      <c r="K21" s="13">
        <v>2018</v>
      </c>
      <c r="O21" s="118">
        <f>VLOOKUP(A21,'Value 2018'!$A$7:$N$18,13,FALSE)</f>
        <v>2646.7070101999898</v>
      </c>
      <c r="P21" s="117"/>
    </row>
    <row r="22" spans="1:27" s="16" customFormat="1" ht="11.25" x14ac:dyDescent="0.2">
      <c r="A22" s="17">
        <f>'Value 2018'!A18</f>
        <v>43220</v>
      </c>
      <c r="B22" s="357">
        <v>20638</v>
      </c>
      <c r="C22" s="14"/>
      <c r="D22" s="20">
        <f>'Value 2018'!O18</f>
        <v>1168.6790028299956</v>
      </c>
      <c r="E22" s="14"/>
      <c r="F22" s="70">
        <f t="shared" si="0"/>
        <v>0.06</v>
      </c>
      <c r="G22" s="24"/>
      <c r="H22" s="22"/>
      <c r="I22" s="14"/>
      <c r="J22" s="14">
        <f t="shared" si="1"/>
        <v>20638</v>
      </c>
      <c r="K22" s="13">
        <v>2018</v>
      </c>
      <c r="O22" s="118">
        <f>VLOOKUP(A22,'Value 2018'!$A$7:$N$18,13,FALSE)</f>
        <v>2337.3580056599912</v>
      </c>
      <c r="P22" s="117"/>
    </row>
    <row r="23" spans="1:27" s="16" customFormat="1" ht="11.25" x14ac:dyDescent="0.2">
      <c r="A23" s="17"/>
      <c r="B23" s="14"/>
      <c r="C23" s="14"/>
      <c r="E23" s="14"/>
      <c r="F23" s="73"/>
      <c r="G23" s="14"/>
      <c r="H23" s="14"/>
      <c r="I23" s="14"/>
      <c r="J23" s="14"/>
      <c r="K23" s="13"/>
      <c r="O23" s="119"/>
    </row>
    <row r="24" spans="1:27" s="16" customFormat="1" ht="11.25" x14ac:dyDescent="0.2">
      <c r="A24" s="17" t="s">
        <v>65</v>
      </c>
      <c r="B24" s="23">
        <f>SUM(B14:B23)</f>
        <v>184472</v>
      </c>
      <c r="C24" s="22" t="s">
        <v>10</v>
      </c>
      <c r="D24" s="72">
        <f>SUM(D14:D23)</f>
        <v>97191.323506079934</v>
      </c>
      <c r="E24" s="14"/>
      <c r="F24" s="72">
        <f>D24/B24</f>
        <v>0.52686219863220396</v>
      </c>
      <c r="G24" s="14"/>
      <c r="H24" s="14"/>
      <c r="I24" s="14"/>
      <c r="J24" s="14"/>
      <c r="K24" s="13"/>
      <c r="O24" s="119"/>
      <c r="P24" s="120" t="s">
        <v>59</v>
      </c>
    </row>
    <row r="25" spans="1:27" x14ac:dyDescent="0.2">
      <c r="D25" s="25"/>
      <c r="F25" s="25"/>
      <c r="O25" s="119">
        <f>SUM(O8:O24)</f>
        <v>311737.81214388984</v>
      </c>
      <c r="P25" s="121"/>
      <c r="Q25" s="16"/>
      <c r="R25" s="16"/>
    </row>
    <row r="26" spans="1:27" s="16" customFormat="1" ht="12" thickBot="1" x14ac:dyDescent="0.25">
      <c r="A26" s="26"/>
      <c r="B26" s="27">
        <f>+B12+B24</f>
        <v>245066</v>
      </c>
      <c r="C26" s="22"/>
      <c r="D26" s="71">
        <f>+D12+D24</f>
        <v>155868.90607194492</v>
      </c>
      <c r="E26" s="22" t="s">
        <v>11</v>
      </c>
      <c r="F26" s="111">
        <f>ROUND(D26/B26,3)</f>
        <v>0.63600000000000001</v>
      </c>
      <c r="H26" s="14"/>
      <c r="I26" s="14"/>
      <c r="J26" s="27">
        <f>SUM(J8:J25)</f>
        <v>245066</v>
      </c>
      <c r="K26" s="22" t="s">
        <v>13</v>
      </c>
      <c r="O26" s="122">
        <f>ROUND(O25/J26,3)</f>
        <v>1.272</v>
      </c>
      <c r="P26" s="117" t="s">
        <v>60</v>
      </c>
    </row>
    <row r="27" spans="1:27" s="16" customFormat="1" ht="12" thickTop="1" x14ac:dyDescent="0.2">
      <c r="B27" s="14"/>
      <c r="C27" s="14"/>
      <c r="D27" s="14"/>
      <c r="E27" s="14"/>
      <c r="F27" s="14"/>
      <c r="G27" s="14"/>
      <c r="H27" s="14"/>
      <c r="I27" s="14"/>
      <c r="J27" s="14"/>
      <c r="K27" s="14"/>
      <c r="O27" s="123">
        <f>+J22</f>
        <v>20638</v>
      </c>
      <c r="P27" s="117" t="s">
        <v>61</v>
      </c>
    </row>
    <row r="28" spans="1:27" s="16" customFormat="1" ht="11.25" x14ac:dyDescent="0.2">
      <c r="B28" s="14"/>
      <c r="C28" s="14"/>
      <c r="D28" s="14"/>
      <c r="E28" s="14"/>
      <c r="F28" s="14"/>
      <c r="G28" s="14"/>
      <c r="H28" s="14"/>
      <c r="I28" s="14"/>
      <c r="J28" s="14"/>
      <c r="K28" s="14"/>
      <c r="O28" s="117"/>
      <c r="P28" s="117" t="s">
        <v>62</v>
      </c>
    </row>
    <row r="29" spans="1:27" s="16" customFormat="1" ht="11.25" x14ac:dyDescent="0.2">
      <c r="A29" s="16" t="s">
        <v>225</v>
      </c>
      <c r="B29" s="14">
        <f>SUM(B17:B22)</f>
        <v>123302</v>
      </c>
      <c r="C29" s="14"/>
      <c r="D29" s="14">
        <f>SUM(D17:D22)</f>
        <v>50238.267455954956</v>
      </c>
      <c r="E29" s="14"/>
      <c r="F29" s="24">
        <f>D29/B29</f>
        <v>0.40744081568794471</v>
      </c>
      <c r="G29" s="22" t="s">
        <v>12</v>
      </c>
      <c r="H29" s="14"/>
      <c r="I29" s="14"/>
      <c r="J29" s="14"/>
      <c r="K29" s="14"/>
      <c r="O29" s="117"/>
      <c r="P29" s="117"/>
    </row>
    <row r="30" spans="1:27" s="16" customFormat="1" ht="11.25" x14ac:dyDescent="0.2">
      <c r="A30" s="16" t="s">
        <v>224</v>
      </c>
      <c r="B30" s="14"/>
      <c r="C30" s="14"/>
      <c r="D30" s="14"/>
      <c r="E30" s="14"/>
      <c r="F30" s="14"/>
      <c r="G30" s="14"/>
      <c r="H30" s="14"/>
      <c r="I30" s="14"/>
      <c r="J30" s="14"/>
      <c r="K30" s="14"/>
      <c r="O30" s="117"/>
      <c r="P30" s="117"/>
    </row>
    <row r="31" spans="1:27" s="16" customFormat="1" ht="11.25" x14ac:dyDescent="0.2">
      <c r="B31" s="14"/>
      <c r="C31" s="14"/>
      <c r="D31" s="14"/>
      <c r="E31" s="14"/>
      <c r="F31" s="14"/>
      <c r="G31" s="14"/>
      <c r="H31" s="14"/>
      <c r="I31" s="14"/>
      <c r="J31" s="14"/>
      <c r="K31" s="14"/>
      <c r="O31" s="117"/>
      <c r="P31" s="117"/>
    </row>
    <row r="32" spans="1:27" s="16" customFormat="1" ht="11.25" x14ac:dyDescent="0.2">
      <c r="B32" s="14"/>
      <c r="C32" s="14"/>
      <c r="D32" s="14"/>
      <c r="E32" s="14"/>
      <c r="F32" s="14"/>
      <c r="G32" s="14"/>
      <c r="H32" s="14"/>
      <c r="I32" s="14"/>
      <c r="J32" s="14"/>
      <c r="K32" s="14"/>
      <c r="O32" s="117"/>
      <c r="P32" s="117"/>
    </row>
    <row r="33" spans="1:27" s="16" customFormat="1" ht="11.25" x14ac:dyDescent="0.2">
      <c r="B33" s="14"/>
      <c r="C33" s="14"/>
      <c r="D33" s="14"/>
      <c r="E33" s="14"/>
      <c r="F33" s="14"/>
      <c r="G33" s="14"/>
      <c r="H33" s="14"/>
      <c r="I33" s="14"/>
      <c r="J33" s="14"/>
      <c r="K33" s="14"/>
      <c r="O33" s="117"/>
      <c r="P33" s="117"/>
    </row>
    <row r="34" spans="1:27" s="16" customFormat="1" ht="11.25" x14ac:dyDescent="0.2">
      <c r="B34" s="14"/>
      <c r="C34" s="14"/>
      <c r="D34" s="14"/>
      <c r="E34" s="14"/>
      <c r="F34" s="14"/>
      <c r="G34" s="14"/>
      <c r="H34" s="14"/>
      <c r="I34" s="14"/>
      <c r="J34" s="14"/>
      <c r="K34" s="14"/>
      <c r="O34" s="117"/>
      <c r="P34" s="117"/>
    </row>
    <row r="35" spans="1:27" s="16" customFormat="1" ht="12" thickBot="1" x14ac:dyDescent="0.25">
      <c r="B35" s="28" t="s">
        <v>14</v>
      </c>
      <c r="C35" s="29"/>
      <c r="D35" s="29"/>
      <c r="E35" s="29"/>
      <c r="F35" s="14"/>
      <c r="G35" s="14"/>
      <c r="H35" s="14"/>
      <c r="I35" s="14"/>
      <c r="J35" s="14"/>
      <c r="K35" s="14"/>
    </row>
    <row r="36" spans="1:27" s="16" customFormat="1" ht="12" thickTop="1" x14ac:dyDescent="0.2">
      <c r="A36" s="6"/>
      <c r="B36" s="30"/>
      <c r="C36" s="14"/>
      <c r="D36" s="14"/>
      <c r="E36" s="14"/>
      <c r="F36" s="14"/>
      <c r="G36" s="14"/>
      <c r="H36" s="14"/>
      <c r="I36" s="14"/>
      <c r="J36" s="14"/>
      <c r="K36" s="14"/>
      <c r="X36" s="14"/>
      <c r="Y36" s="14"/>
    </row>
    <row r="37" spans="1:27" s="16" customFormat="1" ht="11.25" x14ac:dyDescent="0.2">
      <c r="A37" s="8"/>
      <c r="B37" s="30"/>
      <c r="C37" s="14"/>
      <c r="D37" s="14"/>
      <c r="E37" s="14"/>
      <c r="F37" s="31" t="s">
        <v>15</v>
      </c>
      <c r="G37" s="14">
        <f>ROUND(D26,0)</f>
        <v>155869</v>
      </c>
      <c r="H37" s="22" t="s">
        <v>11</v>
      </c>
      <c r="I37" s="14"/>
      <c r="J37" s="14"/>
      <c r="K37" s="14"/>
      <c r="Q37" s="13"/>
      <c r="R37" s="13"/>
    </row>
    <row r="38" spans="1:27" s="13" customFormat="1" ht="11.25" x14ac:dyDescent="0.2">
      <c r="A38" s="32"/>
      <c r="B38" s="30"/>
      <c r="C38" s="14"/>
      <c r="D38" s="14"/>
      <c r="E38" s="14"/>
      <c r="F38" s="14"/>
      <c r="G38" s="14"/>
      <c r="H38" s="22"/>
      <c r="I38" s="14"/>
      <c r="J38" s="14"/>
      <c r="K38" s="14"/>
      <c r="O38" s="16">
        <f>12*O27*O26</f>
        <v>315018.43200000003</v>
      </c>
      <c r="P38" s="13" t="s">
        <v>63</v>
      </c>
      <c r="Q38" s="16"/>
      <c r="R38" s="16"/>
      <c r="W38" s="14"/>
      <c r="X38" s="16"/>
      <c r="Y38" s="16"/>
      <c r="AA38" s="14"/>
    </row>
    <row r="39" spans="1:27" s="16" customFormat="1" ht="11.25" x14ac:dyDescent="0.2">
      <c r="B39" s="14" t="s">
        <v>16</v>
      </c>
      <c r="C39" s="14"/>
      <c r="D39" s="14"/>
      <c r="E39" s="14"/>
      <c r="F39" s="33">
        <v>0.84</v>
      </c>
      <c r="G39" s="14"/>
      <c r="H39" s="14"/>
      <c r="I39" s="14"/>
      <c r="J39" s="14"/>
      <c r="K39" s="14"/>
      <c r="O39" s="16">
        <f>12*O27*G62</f>
        <v>100905.16265001363</v>
      </c>
      <c r="P39" s="16" t="s">
        <v>64</v>
      </c>
    </row>
    <row r="40" spans="1:27" s="16" customFormat="1" ht="11.25" x14ac:dyDescent="0.2">
      <c r="B40" s="74" t="str">
        <f>"Customers from "&amp;TEXT($A$8,"mm/yy")&amp;" - "&amp;TEXT($A$10,"mm/yy")</f>
        <v>Customers from 05/17 - 07/17</v>
      </c>
      <c r="D40" s="14"/>
      <c r="E40" s="14"/>
      <c r="F40" s="34">
        <f>SUM(B8:B10)</f>
        <v>60594</v>
      </c>
      <c r="G40" s="22" t="s">
        <v>9</v>
      </c>
      <c r="H40" s="14"/>
      <c r="I40" s="14"/>
      <c r="J40" s="14"/>
      <c r="K40" s="14"/>
      <c r="O40" s="124">
        <f>+O39/O38</f>
        <v>0.32031510667291246</v>
      </c>
    </row>
    <row r="41" spans="1:27" s="16" customFormat="1" ht="11.25" x14ac:dyDescent="0.2">
      <c r="B41" s="14"/>
      <c r="C41" s="14" t="s">
        <v>17</v>
      </c>
      <c r="D41" s="14"/>
      <c r="E41" s="14"/>
      <c r="F41" s="23">
        <f>ROUND(F39*F40,0)</f>
        <v>50899</v>
      </c>
      <c r="G41" s="22"/>
      <c r="H41" s="14"/>
      <c r="I41" s="14"/>
      <c r="J41" s="14"/>
      <c r="K41" s="14"/>
    </row>
    <row r="42" spans="1:27" s="16" customFormat="1" ht="11.25" x14ac:dyDescent="0.2">
      <c r="B42" s="14"/>
      <c r="C42" s="14"/>
      <c r="D42" s="14"/>
      <c r="E42" s="14"/>
      <c r="F42" s="34"/>
      <c r="G42" s="22"/>
      <c r="H42" s="14"/>
      <c r="I42" s="14"/>
      <c r="J42" s="14"/>
      <c r="K42" s="16">
        <f>D26/O25</f>
        <v>0.5</v>
      </c>
    </row>
    <row r="43" spans="1:27" s="16" customFormat="1" ht="11.25" x14ac:dyDescent="0.2">
      <c r="B43" s="14" t="s">
        <v>16</v>
      </c>
      <c r="C43" s="14"/>
      <c r="D43" s="14"/>
      <c r="E43" s="14"/>
      <c r="F43" s="33">
        <v>0.92700000000000005</v>
      </c>
      <c r="G43" s="14"/>
      <c r="H43" s="14"/>
      <c r="I43" s="14"/>
      <c r="J43" s="14"/>
      <c r="K43" s="14"/>
    </row>
    <row r="44" spans="1:27" s="16" customFormat="1" ht="11.25" x14ac:dyDescent="0.2">
      <c r="B44" s="74" t="str">
        <f>"Customers from "&amp;TEXT(A14,"mm/yy")&amp;" - "&amp;TEXT($A$22,"mm/yy")</f>
        <v>Customers from 08/17 - 04/18</v>
      </c>
      <c r="D44" s="14"/>
      <c r="E44" s="14"/>
      <c r="F44" s="14">
        <f>B24</f>
        <v>184472</v>
      </c>
      <c r="G44" s="22" t="s">
        <v>10</v>
      </c>
      <c r="H44" s="14"/>
      <c r="I44" s="14"/>
      <c r="J44" s="14"/>
      <c r="K44" s="14"/>
    </row>
    <row r="45" spans="1:27" s="16" customFormat="1" ht="11.25" x14ac:dyDescent="0.2">
      <c r="B45" s="14"/>
      <c r="C45" s="14" t="s">
        <v>17</v>
      </c>
      <c r="D45" s="14"/>
      <c r="E45" s="14"/>
      <c r="F45" s="23">
        <f>ROUND(F43*F44,0)</f>
        <v>171006</v>
      </c>
      <c r="G45" s="22"/>
      <c r="H45" s="14"/>
      <c r="I45" s="14"/>
      <c r="J45" s="14"/>
      <c r="K45" s="14"/>
    </row>
    <row r="46" spans="1:27" s="16" customFormat="1" ht="11.25" x14ac:dyDescent="0.2">
      <c r="B46" s="14"/>
      <c r="C46" s="14"/>
      <c r="D46" s="14"/>
      <c r="E46" s="14"/>
      <c r="F46" s="35"/>
      <c r="G46" s="22"/>
      <c r="H46" s="14"/>
      <c r="I46" s="14"/>
      <c r="J46" s="14"/>
      <c r="K46" s="14"/>
    </row>
    <row r="47" spans="1:27" s="16" customFormat="1" ht="12" thickBot="1" x14ac:dyDescent="0.25">
      <c r="B47" s="14"/>
      <c r="C47" s="14" t="s">
        <v>18</v>
      </c>
      <c r="D47" s="14"/>
      <c r="E47" s="14"/>
      <c r="F47" s="27">
        <f>+F41+F45</f>
        <v>221905</v>
      </c>
      <c r="G47" s="36">
        <f>+F47</f>
        <v>221905</v>
      </c>
      <c r="H47" s="14"/>
      <c r="I47" s="14"/>
      <c r="J47" s="14"/>
      <c r="K47" s="14"/>
    </row>
    <row r="48" spans="1:27" s="16" customFormat="1" ht="12" thickTop="1" x14ac:dyDescent="0.2">
      <c r="B48" s="14"/>
      <c r="C48" s="14"/>
      <c r="D48" s="14"/>
      <c r="E48" s="14"/>
      <c r="F48" s="14"/>
      <c r="G48" s="14"/>
      <c r="H48" s="14"/>
      <c r="I48" s="14"/>
      <c r="J48" s="14"/>
      <c r="K48" s="14"/>
    </row>
    <row r="49" spans="2:27" s="16" customFormat="1" ht="11.25" x14ac:dyDescent="0.2">
      <c r="B49" s="14"/>
      <c r="C49" s="14"/>
      <c r="D49" s="14"/>
      <c r="E49" s="14"/>
      <c r="F49" s="14"/>
      <c r="G49" s="14"/>
      <c r="H49" s="14"/>
      <c r="I49" s="14"/>
      <c r="J49" s="14"/>
      <c r="K49" s="14"/>
    </row>
    <row r="50" spans="2:27" s="16" customFormat="1" ht="12" thickBot="1" x14ac:dyDescent="0.25">
      <c r="B50" s="14"/>
      <c r="C50" s="14"/>
      <c r="D50" s="14"/>
      <c r="E50" s="14"/>
      <c r="F50" s="31" t="str">
        <f>IF(G50&lt;=0,"Excess","Deficient")&amp;" Commodity Credits"</f>
        <v>Excess Commodity Credits</v>
      </c>
      <c r="G50" s="37">
        <f>+G37-G47</f>
        <v>-66036</v>
      </c>
      <c r="H50" s="14"/>
      <c r="I50" s="14"/>
      <c r="J50" s="14"/>
      <c r="K50" s="14"/>
    </row>
    <row r="51" spans="2:27" s="16" customFormat="1" ht="12" thickTop="1" x14ac:dyDescent="0.2">
      <c r="B51" s="14"/>
      <c r="C51" s="14"/>
      <c r="D51" s="14"/>
      <c r="E51" s="14"/>
      <c r="F51" s="14"/>
      <c r="G51" s="14"/>
      <c r="H51" s="14"/>
      <c r="I51" s="14"/>
      <c r="J51" s="14"/>
      <c r="K51" s="14"/>
      <c r="Y51" s="14"/>
    </row>
    <row r="52" spans="2:27" s="16" customFormat="1" ht="11.25" x14ac:dyDescent="0.2">
      <c r="B52" s="14"/>
      <c r="C52" s="14"/>
      <c r="D52" s="14"/>
      <c r="E52" s="14"/>
      <c r="F52" s="14"/>
      <c r="G52" s="14"/>
      <c r="H52" s="14"/>
      <c r="I52" s="14"/>
      <c r="J52" s="14"/>
      <c r="K52" s="14"/>
    </row>
    <row r="53" spans="2:27" s="16" customFormat="1" ht="12" thickBot="1" x14ac:dyDescent="0.25">
      <c r="B53" s="28" t="str">
        <f>$K$22+1&amp;" Recycle Adjustment Calculation"</f>
        <v>2019 Recycle Adjustment Calculation</v>
      </c>
      <c r="C53" s="29"/>
      <c r="D53" s="29"/>
      <c r="E53" s="29"/>
      <c r="F53" s="29"/>
      <c r="G53" s="14"/>
      <c r="H53" s="14"/>
      <c r="I53" s="14"/>
      <c r="J53" s="14"/>
      <c r="K53" s="14"/>
      <c r="O53" s="14"/>
      <c r="P53" s="14"/>
      <c r="Q53" s="14"/>
      <c r="R53" s="14"/>
    </row>
    <row r="54" spans="2:27" s="16" customFormat="1" ht="12" thickTop="1" x14ac:dyDescent="0.2">
      <c r="B54" s="30"/>
      <c r="C54" s="14"/>
      <c r="D54" s="14"/>
      <c r="E54" s="14"/>
      <c r="F54" s="14"/>
      <c r="G54" s="14"/>
      <c r="H54" s="14"/>
      <c r="I54" s="14"/>
      <c r="J54" s="14"/>
      <c r="K54" s="14"/>
      <c r="L54" s="14"/>
      <c r="M54" s="14"/>
      <c r="N54" s="14"/>
      <c r="S54" s="14"/>
      <c r="T54" s="14"/>
      <c r="U54" s="14"/>
      <c r="V54" s="14"/>
      <c r="W54" s="14"/>
      <c r="AA54" s="14"/>
    </row>
    <row r="55" spans="2:27" s="16" customFormat="1" ht="11.25" x14ac:dyDescent="0.2">
      <c r="B55" s="14" t="str">
        <f>$K$10&amp;"/"&amp;$K$22&amp;" True-up Computation"</f>
        <v>2017/2018 True-up Computation</v>
      </c>
      <c r="C55" s="14"/>
      <c r="D55" s="14"/>
      <c r="E55" s="14"/>
      <c r="F55" s="14"/>
      <c r="G55" s="14"/>
      <c r="H55" s="14"/>
      <c r="I55" s="14"/>
      <c r="J55" s="14"/>
      <c r="K55" s="14"/>
    </row>
    <row r="56" spans="2:27" s="16" customFormat="1" ht="11.25" x14ac:dyDescent="0.2">
      <c r="B56" s="14"/>
      <c r="C56" s="14"/>
      <c r="D56" s="14"/>
      <c r="E56" s="14"/>
      <c r="F56" s="31" t="s">
        <v>19</v>
      </c>
      <c r="G56" s="14">
        <f>+J26</f>
        <v>245066</v>
      </c>
      <c r="H56" s="22" t="s">
        <v>13</v>
      </c>
      <c r="I56" s="14"/>
      <c r="J56" s="14"/>
      <c r="K56" s="14"/>
    </row>
    <row r="57" spans="2:27" s="16" customFormat="1" ht="11.25" x14ac:dyDescent="0.2">
      <c r="B57" s="14"/>
      <c r="C57" s="14"/>
      <c r="D57" s="14"/>
      <c r="E57" s="14"/>
      <c r="F57" s="31" t="str">
        <f>F50</f>
        <v>Excess Commodity Credits</v>
      </c>
      <c r="G57" s="14">
        <f>+G50</f>
        <v>-66036</v>
      </c>
      <c r="H57" s="14"/>
      <c r="I57" s="14"/>
      <c r="J57" s="14"/>
      <c r="K57" s="14"/>
    </row>
    <row r="58" spans="2:27" s="16" customFormat="1" ht="11.25" x14ac:dyDescent="0.2">
      <c r="B58" s="14"/>
      <c r="C58" s="14"/>
      <c r="D58" s="14"/>
      <c r="E58" s="14"/>
      <c r="F58" s="31"/>
      <c r="G58" s="14"/>
      <c r="H58" s="14"/>
      <c r="I58" s="14"/>
      <c r="J58" s="14"/>
      <c r="K58" s="14"/>
    </row>
    <row r="59" spans="2:27" s="16" customFormat="1" ht="12" thickBot="1" x14ac:dyDescent="0.25">
      <c r="B59" s="14"/>
      <c r="C59" s="14"/>
      <c r="D59" s="14"/>
      <c r="E59" s="14"/>
      <c r="F59" s="31" t="str">
        <f>$K$10&amp;"/"&amp;$K$22&amp;" Monthly True-up Charge"</f>
        <v>2017/2018 Monthly True-up Charge</v>
      </c>
      <c r="G59" s="38">
        <f>ROUND(G57/G56,3)</f>
        <v>-0.26900000000000002</v>
      </c>
      <c r="H59" s="14"/>
      <c r="I59" s="24">
        <f>+G59</f>
        <v>-0.26900000000000002</v>
      </c>
      <c r="J59" s="14"/>
      <c r="K59" s="14"/>
    </row>
    <row r="60" spans="2:27" s="16" customFormat="1" ht="12" thickTop="1" x14ac:dyDescent="0.2">
      <c r="B60" s="14"/>
      <c r="C60" s="14"/>
      <c r="D60" s="14"/>
      <c r="E60" s="14"/>
      <c r="F60" s="31"/>
      <c r="G60" s="14"/>
      <c r="H60" s="14"/>
      <c r="I60" s="24"/>
      <c r="J60" s="14"/>
      <c r="K60" s="14"/>
      <c r="Y60" s="14"/>
    </row>
    <row r="61" spans="2:27" s="16" customFormat="1" ht="11.25" x14ac:dyDescent="0.2">
      <c r="B61" s="14" t="str">
        <f>$K$22&amp;"/"&amp;$K$22+1&amp;" Projected Credit at 50% Retention"</f>
        <v>2018/2019 Projected Credit at 50% Retention</v>
      </c>
      <c r="C61" s="14"/>
      <c r="D61" s="14"/>
      <c r="E61" s="14"/>
      <c r="F61" s="31"/>
      <c r="G61" s="14"/>
      <c r="H61" s="14"/>
      <c r="I61" s="24"/>
      <c r="J61" s="14"/>
      <c r="K61" s="14"/>
      <c r="N61" s="356" t="s">
        <v>67</v>
      </c>
    </row>
    <row r="62" spans="2:27" s="16" customFormat="1" ht="12" thickBot="1" x14ac:dyDescent="0.25">
      <c r="B62" s="30"/>
      <c r="C62" s="14"/>
      <c r="D62" s="14"/>
      <c r="E62" s="14"/>
      <c r="F62" s="31" t="s">
        <v>54</v>
      </c>
      <c r="G62" s="303">
        <f>F29</f>
        <v>0.40744081568794471</v>
      </c>
      <c r="H62" s="14"/>
      <c r="I62" s="24">
        <f>+G62</f>
        <v>0.40744081568794471</v>
      </c>
      <c r="J62" s="22" t="s">
        <v>12</v>
      </c>
      <c r="K62" s="14"/>
      <c r="N62" s="355">
        <f>+'[11]WUTC_AW of Kent_MF'!$O$56</f>
        <v>0.5</v>
      </c>
    </row>
    <row r="63" spans="2:27" s="14" customFormat="1" ht="12" thickTop="1" x14ac:dyDescent="0.2">
      <c r="B63" s="30"/>
      <c r="I63" s="24"/>
      <c r="X63" s="16"/>
      <c r="Y63" s="16"/>
    </row>
    <row r="64" spans="2:27" s="16" customFormat="1" ht="12" thickBot="1" x14ac:dyDescent="0.25">
      <c r="B64" s="14"/>
      <c r="C64" s="14"/>
      <c r="D64" s="14"/>
      <c r="E64" s="14"/>
      <c r="F64" s="14"/>
      <c r="G64" s="31" t="str">
        <f>$K$22&amp;"/"&amp;$K$22+1&amp;" Adjusted Credit"</f>
        <v>2018/2019 Adjusted Credit</v>
      </c>
      <c r="H64" s="27"/>
      <c r="I64" s="38">
        <f>+I59+I62</f>
        <v>0.1384408156879447</v>
      </c>
      <c r="J64" s="14"/>
      <c r="K64" s="14"/>
    </row>
    <row r="65" spans="1:27" s="16" customFormat="1" ht="12" thickTop="1" x14ac:dyDescent="0.2">
      <c r="I65" s="24"/>
    </row>
    <row r="66" spans="1:27" s="16" customFormat="1" ht="11.25" x14ac:dyDescent="0.2"/>
    <row r="67" spans="1:27" s="16" customFormat="1" ht="11.25" x14ac:dyDescent="0.2"/>
    <row r="68" spans="1:27" s="16" customFormat="1" ht="11.25" x14ac:dyDescent="0.2"/>
    <row r="69" spans="1:27" s="16" customFormat="1" ht="11.25" x14ac:dyDescent="0.2">
      <c r="B69" s="16" t="s">
        <v>223</v>
      </c>
      <c r="G69" s="109" t="s">
        <v>56</v>
      </c>
      <c r="I69" s="73"/>
    </row>
    <row r="70" spans="1:27" s="16" customFormat="1" ht="11.25" x14ac:dyDescent="0.2">
      <c r="A70" s="39"/>
      <c r="B70" s="39"/>
      <c r="C70" s="39"/>
      <c r="D70" s="39"/>
      <c r="E70" s="39"/>
      <c r="F70" s="39"/>
    </row>
    <row r="71" spans="1:27" s="16" customFormat="1" ht="11.25" x14ac:dyDescent="0.2">
      <c r="A71" s="40"/>
      <c r="B71" s="42"/>
      <c r="C71" s="41"/>
      <c r="D71" s="39"/>
      <c r="E71" s="39"/>
      <c r="F71" s="39"/>
      <c r="G71" s="109" t="s">
        <v>57</v>
      </c>
      <c r="I71" s="302">
        <f>I69/(B22*12)</f>
        <v>0</v>
      </c>
    </row>
    <row r="72" spans="1:27" s="16" customFormat="1" ht="11.25" x14ac:dyDescent="0.2">
      <c r="A72" s="40"/>
      <c r="B72" s="42"/>
      <c r="C72" s="42"/>
      <c r="D72" s="39"/>
      <c r="E72" s="39"/>
      <c r="F72" s="39"/>
    </row>
    <row r="73" spans="1:27" s="16" customFormat="1" ht="12" thickBot="1" x14ac:dyDescent="0.25">
      <c r="A73" s="40"/>
      <c r="B73" s="43"/>
      <c r="C73" s="42"/>
      <c r="D73" s="39"/>
      <c r="E73" s="39"/>
      <c r="F73" s="39"/>
      <c r="G73" s="31" t="str">
        <f>$K$22+1&amp;" Net Credit"</f>
        <v>2019 Net Credit</v>
      </c>
      <c r="H73" s="27"/>
      <c r="I73" s="301">
        <f>+I64+I71</f>
        <v>0.1384408156879447</v>
      </c>
    </row>
    <row r="74" spans="1:27" s="16" customFormat="1" ht="12" thickTop="1" x14ac:dyDescent="0.2">
      <c r="A74" s="40"/>
      <c r="B74" s="43"/>
      <c r="C74" s="42"/>
      <c r="D74" s="39"/>
      <c r="E74" s="39"/>
      <c r="F74" s="39"/>
    </row>
    <row r="75" spans="1:27" s="16" customFormat="1" ht="11.25" x14ac:dyDescent="0.2">
      <c r="A75" s="40"/>
      <c r="B75" s="43"/>
      <c r="C75" s="42"/>
      <c r="D75" s="39"/>
      <c r="E75" s="39"/>
      <c r="F75" s="39"/>
    </row>
    <row r="76" spans="1:27" s="16" customFormat="1" ht="11.25" x14ac:dyDescent="0.2">
      <c r="A76" s="40"/>
      <c r="B76" s="43"/>
      <c r="C76" s="42"/>
      <c r="D76" s="39"/>
      <c r="E76" s="39"/>
      <c r="F76" s="39"/>
      <c r="Y76" s="14"/>
    </row>
    <row r="77" spans="1:27" s="16" customFormat="1" ht="11.25" x14ac:dyDescent="0.2">
      <c r="A77" s="40"/>
      <c r="B77" s="43"/>
      <c r="C77" s="42"/>
      <c r="D77" s="39"/>
      <c r="E77" s="39"/>
      <c r="F77" s="39"/>
    </row>
    <row r="78" spans="1:27" s="16" customFormat="1" ht="11.25" x14ac:dyDescent="0.2">
      <c r="A78" s="40"/>
      <c r="B78" s="43"/>
      <c r="C78" s="42"/>
      <c r="D78" s="39"/>
      <c r="E78" s="39"/>
      <c r="F78" s="39"/>
    </row>
    <row r="79" spans="1:27" s="16" customFormat="1" ht="11.25" x14ac:dyDescent="0.2">
      <c r="A79" s="40"/>
      <c r="B79" s="43"/>
      <c r="C79" s="42"/>
      <c r="D79" s="39"/>
      <c r="E79" s="39"/>
      <c r="F79" s="39"/>
    </row>
    <row r="80" spans="1:27" s="16" customFormat="1" ht="11.25" x14ac:dyDescent="0.2">
      <c r="A80" s="40"/>
      <c r="B80" s="43"/>
      <c r="C80" s="42"/>
      <c r="D80" s="39"/>
      <c r="E80" s="44"/>
      <c r="F80" s="39"/>
      <c r="G80" s="14"/>
      <c r="H80" s="13"/>
      <c r="I80" s="14"/>
      <c r="J80" s="14"/>
      <c r="K80" s="13"/>
      <c r="L80" s="14"/>
      <c r="M80" s="14"/>
      <c r="N80" s="14"/>
      <c r="O80" s="14"/>
      <c r="P80" s="14"/>
      <c r="Q80" s="14"/>
      <c r="R80" s="14"/>
      <c r="S80" s="14"/>
      <c r="T80" s="14"/>
      <c r="U80" s="14"/>
      <c r="V80" s="13"/>
      <c r="W80" s="14"/>
      <c r="AA80" s="14"/>
    </row>
    <row r="81" spans="1:25" s="16" customFormat="1" ht="11.25" x14ac:dyDescent="0.2">
      <c r="A81" s="40"/>
      <c r="B81" s="43"/>
      <c r="C81" s="42"/>
      <c r="D81" s="39"/>
      <c r="E81" s="39"/>
      <c r="F81" s="39"/>
    </row>
    <row r="82" spans="1:25" s="16" customFormat="1" ht="11.25" x14ac:dyDescent="0.2">
      <c r="A82" s="40"/>
      <c r="B82" s="42"/>
      <c r="C82" s="42"/>
      <c r="D82" s="39"/>
      <c r="E82" s="39"/>
      <c r="F82" s="39"/>
    </row>
    <row r="83" spans="1:25" s="16" customFormat="1" ht="11.25" x14ac:dyDescent="0.2">
      <c r="A83" s="40"/>
      <c r="B83" s="42"/>
      <c r="C83" s="41"/>
      <c r="D83" s="39"/>
      <c r="E83" s="39"/>
      <c r="F83" s="39"/>
    </row>
    <row r="84" spans="1:25" s="16" customFormat="1" x14ac:dyDescent="0.2">
      <c r="A84" s="45"/>
      <c r="B84" s="45"/>
      <c r="C84" s="45"/>
      <c r="D84" s="46"/>
      <c r="E84" s="39"/>
      <c r="F84" s="45"/>
    </row>
    <row r="85" spans="1:25" s="16" customFormat="1" ht="11.25" x14ac:dyDescent="0.2">
      <c r="A85" s="47"/>
      <c r="B85" s="42"/>
      <c r="C85" s="41"/>
      <c r="D85" s="39"/>
      <c r="E85" s="39"/>
      <c r="F85" s="48"/>
      <c r="Y85" s="14"/>
    </row>
    <row r="86" spans="1:25" s="16" customFormat="1" ht="11.25" x14ac:dyDescent="0.2"/>
    <row r="87" spans="1:25" s="16" customFormat="1" ht="11.25" x14ac:dyDescent="0.2"/>
    <row r="88" spans="1:25" s="16" customFormat="1" ht="11.25" x14ac:dyDescent="0.2"/>
    <row r="89" spans="1:25" s="16" customFormat="1" ht="11.25" x14ac:dyDescent="0.2">
      <c r="B89" s="8"/>
    </row>
    <row r="90" spans="1:25" s="14" customFormat="1" ht="11.25" x14ac:dyDescent="0.2">
      <c r="B90" s="30"/>
      <c r="X90" s="16"/>
      <c r="Y90" s="16"/>
    </row>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row r="97" spans="1:27" s="16" customFormat="1" ht="11.25" x14ac:dyDescent="0.2"/>
    <row r="98" spans="1:27" s="16" customFormat="1" ht="11.25" x14ac:dyDescent="0.2"/>
    <row r="99" spans="1:27" s="16" customFormat="1" ht="11.25" x14ac:dyDescent="0.2">
      <c r="A99" s="6"/>
    </row>
    <row r="100" spans="1:27" s="16" customFormat="1" x14ac:dyDescent="0.2">
      <c r="AA100" s="5"/>
    </row>
    <row r="101" spans="1:27" s="16" customFormat="1" x14ac:dyDescent="0.2">
      <c r="AA101" s="5"/>
    </row>
    <row r="102" spans="1:27" s="16" customFormat="1" x14ac:dyDescent="0.2">
      <c r="AA102" s="5"/>
    </row>
    <row r="103" spans="1:27" s="16" customFormat="1" x14ac:dyDescent="0.2">
      <c r="AA103" s="5"/>
    </row>
    <row r="104" spans="1:27" s="16" customFormat="1" x14ac:dyDescent="0.2">
      <c r="G104" s="49"/>
      <c r="I104" s="49"/>
      <c r="J104" s="49"/>
      <c r="L104" s="49"/>
      <c r="M104" s="49"/>
      <c r="N104" s="49"/>
      <c r="O104" s="49"/>
      <c r="P104" s="49"/>
      <c r="Q104" s="49"/>
      <c r="R104" s="49"/>
      <c r="S104" s="49"/>
      <c r="T104" s="49"/>
      <c r="U104" s="49"/>
      <c r="V104" s="49"/>
      <c r="W104" s="49"/>
      <c r="X104" s="49"/>
      <c r="Y104" s="49"/>
      <c r="AA104" s="5"/>
    </row>
    <row r="105" spans="1:27" s="16" customFormat="1" x14ac:dyDescent="0.2">
      <c r="AA105" s="5"/>
    </row>
    <row r="106" spans="1:27" s="16" customFormat="1" ht="13.5" thickBot="1" x14ac:dyDescent="0.25">
      <c r="G106" s="50"/>
      <c r="I106" s="50"/>
      <c r="J106" s="50"/>
      <c r="L106" s="50"/>
      <c r="M106" s="50"/>
      <c r="N106" s="50"/>
      <c r="O106" s="50"/>
      <c r="P106" s="50"/>
      <c r="Q106" s="50"/>
      <c r="R106" s="50"/>
      <c r="S106" s="50"/>
      <c r="T106" s="50"/>
      <c r="U106" s="50"/>
      <c r="V106" s="50"/>
      <c r="W106" s="50"/>
      <c r="X106" s="50"/>
      <c r="Y106" s="50"/>
      <c r="AA106" s="5"/>
    </row>
    <row r="107" spans="1:27" ht="13.5" thickTop="1" x14ac:dyDescent="0.2"/>
    <row r="108" spans="1:27" x14ac:dyDescent="0.2">
      <c r="W108" s="51"/>
      <c r="X108" s="51"/>
      <c r="Y108" s="51"/>
    </row>
    <row r="109" spans="1:27" x14ac:dyDescent="0.2">
      <c r="W109" s="51"/>
      <c r="AA109" s="51"/>
    </row>
  </sheetData>
  <printOptions horizontalCentered="1"/>
  <pageMargins left="0" right="0" top="0.52" bottom="0.44" header="0" footer="0"/>
  <pageSetup scale="56" orientation="portrait" horizontalDpi="4294967292" verticalDpi="4294967292" r:id="rId1"/>
  <headerFooter alignWithMargins="0">
    <oddFooter>&amp;R&amp;"Helv,Regular"&amp;6\\SERVER1\PUBLIC\EXCEL&amp;F,&amp;A</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R120"/>
  <sheetViews>
    <sheetView showGridLines="0" topLeftCell="E1" zoomScaleNormal="100" workbookViewId="0">
      <selection activeCell="O7" sqref="O7:O18"/>
    </sheetView>
  </sheetViews>
  <sheetFormatPr defaultRowHeight="12.75" x14ac:dyDescent="0.2"/>
  <cols>
    <col min="1" max="1" width="9.140625" style="186"/>
    <col min="2" max="2" width="6.5703125" style="186" customWidth="1"/>
    <col min="3" max="3" width="8.7109375" style="186" bestFit="1" customWidth="1"/>
    <col min="4" max="4" width="9" style="186" bestFit="1" customWidth="1"/>
    <col min="5" max="5" width="12" style="186" bestFit="1" customWidth="1"/>
    <col min="6" max="10" width="9.140625" style="186"/>
    <col min="11" max="12" width="9" style="186" bestFit="1" customWidth="1"/>
    <col min="13" max="13" width="8.7109375" style="186" bestFit="1" customWidth="1"/>
    <col min="14" max="14" width="3.7109375" style="304" customWidth="1"/>
    <col min="15" max="15" width="9.140625" style="186"/>
    <col min="16" max="16" width="14.5703125" style="186" bestFit="1" customWidth="1"/>
    <col min="17" max="17" width="12.28515625" style="359" bestFit="1" customWidth="1"/>
    <col min="18" max="16384" width="9.140625" style="186"/>
  </cols>
  <sheetData>
    <row r="1" spans="1:18" x14ac:dyDescent="0.2">
      <c r="A1" s="320" t="str">
        <f>"Commodity Value Timeframe:  "&amp;TEXT(A7,"mmmm")&amp;" - "&amp;TEXT(A18,"mmmm")</f>
        <v>Commodity Value Timeframe:  May - April</v>
      </c>
      <c r="B1" s="319"/>
    </row>
    <row r="2" spans="1:18" x14ac:dyDescent="0.2">
      <c r="A2" s="318" t="str">
        <f>'WUTC_KENT_SF 2018'!A1</f>
        <v>Kent-Meridian Disposal</v>
      </c>
      <c r="B2" s="318"/>
    </row>
    <row r="3" spans="1:18" x14ac:dyDescent="0.2">
      <c r="A3" s="318"/>
      <c r="B3" s="318"/>
    </row>
    <row r="4" spans="1:18" x14ac:dyDescent="0.2">
      <c r="B4" s="314"/>
      <c r="C4" s="316" t="s">
        <v>21</v>
      </c>
      <c r="D4" s="316" t="s">
        <v>22</v>
      </c>
      <c r="E4" s="316" t="s">
        <v>55</v>
      </c>
      <c r="F4" s="316" t="s">
        <v>23</v>
      </c>
      <c r="G4" s="316" t="s">
        <v>24</v>
      </c>
      <c r="H4" s="316" t="s">
        <v>25</v>
      </c>
      <c r="I4" s="316" t="s">
        <v>26</v>
      </c>
      <c r="J4" s="316" t="s">
        <v>27</v>
      </c>
      <c r="K4" s="316" t="s">
        <v>28</v>
      </c>
      <c r="L4" s="316" t="s">
        <v>29</v>
      </c>
      <c r="M4" s="316" t="s">
        <v>30</v>
      </c>
      <c r="N4" s="186"/>
      <c r="O4" s="317"/>
    </row>
    <row r="5" spans="1:18" x14ac:dyDescent="0.2">
      <c r="B5" s="314"/>
      <c r="C5" s="314"/>
      <c r="D5" s="314"/>
      <c r="E5" s="314"/>
      <c r="F5" s="314"/>
      <c r="G5" s="314"/>
      <c r="H5" s="314"/>
      <c r="I5" s="314"/>
      <c r="J5" s="314"/>
      <c r="K5" s="314"/>
      <c r="L5" s="314"/>
      <c r="M5" s="314"/>
      <c r="N5" s="186"/>
      <c r="O5" s="317" t="str">
        <f>+TEXT(P20,"00.0%")&amp;" of"</f>
        <v>50.0% of</v>
      </c>
    </row>
    <row r="6" spans="1:18" x14ac:dyDescent="0.2">
      <c r="B6" s="314"/>
      <c r="C6" s="314"/>
      <c r="D6" s="314"/>
      <c r="E6" s="314"/>
      <c r="F6" s="314"/>
      <c r="G6" s="314"/>
      <c r="H6" s="314"/>
      <c r="I6" s="314"/>
      <c r="J6" s="314"/>
      <c r="K6" s="314"/>
      <c r="L6" s="314"/>
      <c r="M6" s="314"/>
      <c r="N6" s="186"/>
      <c r="O6" s="317" t="s">
        <v>30</v>
      </c>
      <c r="P6" s="316" t="s">
        <v>68</v>
      </c>
      <c r="Q6" s="363"/>
    </row>
    <row r="7" spans="1:18" x14ac:dyDescent="0.2">
      <c r="A7" s="313">
        <f>+'Pricing 2018'!A7</f>
        <v>42856</v>
      </c>
      <c r="B7" s="314"/>
      <c r="C7" s="311">
        <f>'Commodity Tonnages 2018'!C7*'Pricing 2018'!C7</f>
        <v>3885.7169325</v>
      </c>
      <c r="D7" s="311">
        <f>'Commodity Tonnages 2018'!D7*'Pricing 2018'!D7</f>
        <v>-1609.7032868800002</v>
      </c>
      <c r="E7" s="311">
        <f>'Commodity Tonnages 2018'!E7*'Pricing 2018'!E7</f>
        <v>0</v>
      </c>
      <c r="F7" s="311">
        <f>'Commodity Tonnages 2018'!F7*'Pricing 2018'!F7</f>
        <v>679.75045709999995</v>
      </c>
      <c r="G7" s="311">
        <f>'Commodity Tonnages 2018'!G7*'Pricing 2018'!G7</f>
        <v>7286.8727099999996</v>
      </c>
      <c r="H7" s="311">
        <f>'Commodity Tonnages 2018'!H7*'Pricing 2018'!H7</f>
        <v>11074.977537519995</v>
      </c>
      <c r="I7" s="311">
        <f>'Commodity Tonnages 2018'!I7*'Pricing 2018'!I7</f>
        <v>1188.49789487</v>
      </c>
      <c r="J7" s="311">
        <f>'Commodity Tonnages 2018'!J7*'Pricing 2018'!J7</f>
        <v>1188.49789487</v>
      </c>
      <c r="K7" s="311">
        <f>'Commodity Tonnages 2018'!K7*'Pricing 2018'!K7</f>
        <v>13530.27280176</v>
      </c>
      <c r="L7" s="311">
        <f>'Commodity Tonnages 2018'!L7*'Pricing 2018'!L7</f>
        <v>-4567.3140726200108</v>
      </c>
      <c r="M7" s="307">
        <f t="shared" ref="M7:M18" si="0">SUM(C7:L7)</f>
        <v>32657.568869119987</v>
      </c>
      <c r="N7" s="186"/>
      <c r="O7" s="139">
        <f t="shared" ref="O7:O18" si="1">M7*P7</f>
        <v>16328.784434559993</v>
      </c>
      <c r="P7" s="362">
        <v>0.5</v>
      </c>
      <c r="Q7" s="361"/>
      <c r="R7" s="68"/>
    </row>
    <row r="8" spans="1:18" x14ac:dyDescent="0.2">
      <c r="A8" s="313">
        <f>+'Pricing 2018'!A8</f>
        <v>42916</v>
      </c>
      <c r="B8" s="314"/>
      <c r="C8" s="311">
        <f>'Commodity Tonnages 2018'!C8*'Pricing 2018'!C8</f>
        <v>3803.9186805000004</v>
      </c>
      <c r="D8" s="311">
        <f>'Commodity Tonnages 2018'!D8*'Pricing 2018'!D8</f>
        <v>-641.69630720000009</v>
      </c>
      <c r="E8" s="311">
        <f>'Commodity Tonnages 2018'!E8*'Pricing 2018'!E8</f>
        <v>0</v>
      </c>
      <c r="F8" s="311">
        <f>'Commodity Tonnages 2018'!F8*'Pricing 2018'!F8</f>
        <v>646.40332019999994</v>
      </c>
      <c r="G8" s="311">
        <f>'Commodity Tonnages 2018'!G8*'Pricing 2018'!G8</f>
        <v>9406.4834370000008</v>
      </c>
      <c r="H8" s="311">
        <f>'Commodity Tonnages 2018'!H8*'Pricing 2018'!H8</f>
        <v>14395.28432223999</v>
      </c>
      <c r="I8" s="311">
        <f>'Commodity Tonnages 2018'!I8*'Pricing 2018'!I8</f>
        <v>898.85233670000002</v>
      </c>
      <c r="J8" s="311">
        <f>'Commodity Tonnages 2018'!J8*'Pricing 2018'!J8</f>
        <v>898.85233670000002</v>
      </c>
      <c r="K8" s="311">
        <f>'Commodity Tonnages 2018'!K8*'Pricing 2018'!K8</f>
        <v>16120.931999040002</v>
      </c>
      <c r="L8" s="311">
        <f>'Commodity Tonnages 2018'!L8*'Pricing 2018'!L8</f>
        <v>-4526.2109595700103</v>
      </c>
      <c r="M8" s="307">
        <f t="shared" si="0"/>
        <v>41002.819165609988</v>
      </c>
      <c r="N8" s="186"/>
      <c r="O8" s="139">
        <f t="shared" si="1"/>
        <v>20501.409582804994</v>
      </c>
      <c r="P8" s="362">
        <v>0.5</v>
      </c>
      <c r="Q8" s="361"/>
      <c r="R8" s="68"/>
    </row>
    <row r="9" spans="1:18" x14ac:dyDescent="0.2">
      <c r="A9" s="313">
        <f>+'Pricing 2018'!A9</f>
        <v>42947</v>
      </c>
      <c r="B9" s="305"/>
      <c r="C9" s="311">
        <f>'Commodity Tonnages 2018'!C9*'Pricing 2018'!C9</f>
        <v>3582.0503100000001</v>
      </c>
      <c r="D9" s="311">
        <f>'Commodity Tonnages 2018'!D9*'Pricing 2018'!D9</f>
        <v>-640.74632544000008</v>
      </c>
      <c r="E9" s="311">
        <f>'Commodity Tonnages 2018'!E9*'Pricing 2018'!E9</f>
        <v>0</v>
      </c>
      <c r="F9" s="311">
        <f>'Commodity Tonnages 2018'!F9*'Pricing 2018'!F9</f>
        <v>611.8229106</v>
      </c>
      <c r="G9" s="311">
        <f>'Commodity Tonnages 2018'!G9*'Pricing 2018'!G9</f>
        <v>10537.502976</v>
      </c>
      <c r="H9" s="311">
        <f>'Commodity Tonnages 2018'!H9*'Pricing 2018'!H9</f>
        <v>16486.22693375999</v>
      </c>
      <c r="I9" s="311">
        <f>'Commodity Tonnages 2018'!I9*'Pricing 2018'!I9</f>
        <v>769.92081929999995</v>
      </c>
      <c r="J9" s="311">
        <f>'Commodity Tonnages 2018'!J9*'Pricing 2018'!J9</f>
        <v>769.92081929999995</v>
      </c>
      <c r="K9" s="311">
        <f>'Commodity Tonnages 2018'!K9*'Pricing 2018'!K9</f>
        <v>15954.003861839998</v>
      </c>
      <c r="L9" s="311">
        <f>'Commodity Tonnages 2018'!L9*'Pricing 2018'!L9</f>
        <v>-4375.9252083600104</v>
      </c>
      <c r="M9" s="307">
        <f t="shared" si="0"/>
        <v>43694.777096999984</v>
      </c>
      <c r="N9" s="307"/>
      <c r="O9" s="139">
        <f t="shared" si="1"/>
        <v>21847.388548499992</v>
      </c>
      <c r="P9" s="362">
        <v>0.5</v>
      </c>
      <c r="Q9" s="361"/>
      <c r="R9" s="68"/>
    </row>
    <row r="10" spans="1:18" x14ac:dyDescent="0.2">
      <c r="A10" s="313">
        <f>+'Pricing 2018'!A10</f>
        <v>42978</v>
      </c>
      <c r="B10" s="305"/>
      <c r="C10" s="311">
        <f>'Commodity Tonnages 2018'!C10*'Pricing 2018'!C10</f>
        <v>3916.5873599999995</v>
      </c>
      <c r="D10" s="311">
        <f>'Commodity Tonnages 2018'!D10*'Pricing 2018'!D10</f>
        <v>-442.58556160000001</v>
      </c>
      <c r="E10" s="311">
        <f>'Commodity Tonnages 2018'!E10*'Pricing 2018'!E10</f>
        <v>0</v>
      </c>
      <c r="F10" s="311">
        <f>'Commodity Tonnages 2018'!F10*'Pricing 2018'!F10</f>
        <v>743.38849199999993</v>
      </c>
      <c r="G10" s="311">
        <f>'Commodity Tonnages 2018'!G10*'Pricing 2018'!G10</f>
        <v>9181.4158799999987</v>
      </c>
      <c r="H10" s="311">
        <f>'Commodity Tonnages 2018'!H10*'Pricing 2018'!H10</f>
        <v>14331.275470399989</v>
      </c>
      <c r="I10" s="311">
        <f>'Commodity Tonnages 2018'!I10*'Pricing 2018'!I10</f>
        <v>1075.1687548</v>
      </c>
      <c r="J10" s="311">
        <f>'Commodity Tonnages 2018'!J10*'Pricing 2018'!J10</f>
        <v>1075.1687548</v>
      </c>
      <c r="K10" s="311">
        <f>'Commodity Tonnages 2018'!K10*'Pricing 2018'!K10</f>
        <v>14978.968804799999</v>
      </c>
      <c r="L10" s="311">
        <f>'Commodity Tonnages 2018'!L10*'Pricing 2018'!L10</f>
        <v>-4603.5486616000098</v>
      </c>
      <c r="M10" s="307">
        <f t="shared" si="0"/>
        <v>40255.839293599973</v>
      </c>
      <c r="N10" s="307"/>
      <c r="O10" s="139">
        <f t="shared" si="1"/>
        <v>20127.919646799986</v>
      </c>
      <c r="P10" s="362">
        <v>0.5</v>
      </c>
      <c r="Q10" s="361"/>
      <c r="R10" s="68"/>
    </row>
    <row r="11" spans="1:18" x14ac:dyDescent="0.2">
      <c r="A11" s="313">
        <f>+'Pricing 2018'!A11</f>
        <v>43008</v>
      </c>
      <c r="B11" s="305"/>
      <c r="C11" s="311">
        <f>'Commodity Tonnages 2018'!C11*'Pricing 2018'!C11</f>
        <v>4023.7921425</v>
      </c>
      <c r="D11" s="311">
        <f>'Commodity Tonnages 2018'!D11*'Pricing 2018'!D11</f>
        <v>-558.31123920000005</v>
      </c>
      <c r="E11" s="311">
        <f>'Commodity Tonnages 2018'!E11*'Pricing 2018'!E11</f>
        <v>0</v>
      </c>
      <c r="F11" s="311">
        <f>'Commodity Tonnages 2018'!F11*'Pricing 2018'!F11</f>
        <v>803.67766050000012</v>
      </c>
      <c r="G11" s="311">
        <f>'Commodity Tonnages 2018'!G11*'Pricing 2018'!G11</f>
        <v>6917.4218100000007</v>
      </c>
      <c r="H11" s="311">
        <f>'Commodity Tonnages 2018'!H11*'Pricing 2018'!H11</f>
        <v>10479.019576999995</v>
      </c>
      <c r="I11" s="311">
        <f>'Commodity Tonnages 2018'!I11*'Pricing 2018'!I11</f>
        <v>911.13527049999993</v>
      </c>
      <c r="J11" s="311">
        <f>'Commodity Tonnages 2018'!J11*'Pricing 2018'!J11</f>
        <v>911.13527049999993</v>
      </c>
      <c r="K11" s="311">
        <f>'Commodity Tonnages 2018'!K11*'Pricing 2018'!K11</f>
        <v>11102.175770400001</v>
      </c>
      <c r="L11" s="311">
        <f>'Commodity Tonnages 2018'!L11*'Pricing 2018'!L11</f>
        <v>-4492.6101623000095</v>
      </c>
      <c r="M11" s="307">
        <f t="shared" si="0"/>
        <v>30097.43609989998</v>
      </c>
      <c r="N11" s="307"/>
      <c r="O11" s="139">
        <f t="shared" si="1"/>
        <v>15048.71804994999</v>
      </c>
      <c r="P11" s="362">
        <v>0.5</v>
      </c>
      <c r="Q11" s="361"/>
      <c r="R11" s="68"/>
    </row>
    <row r="12" spans="1:18" x14ac:dyDescent="0.2">
      <c r="A12" s="313">
        <f>+'Pricing 2018'!A12</f>
        <v>43039</v>
      </c>
      <c r="B12" s="305"/>
      <c r="C12" s="311">
        <f>'Commodity Tonnages 2018'!C12*'Pricing 2018'!C12</f>
        <v>3819.9880387500002</v>
      </c>
      <c r="D12" s="311">
        <f>'Commodity Tonnages 2018'!D12*'Pricing 2018'!D12</f>
        <v>-806.18908240000007</v>
      </c>
      <c r="E12" s="311">
        <f>'Commodity Tonnages 2018'!E12*'Pricing 2018'!E12</f>
        <v>0</v>
      </c>
      <c r="F12" s="311">
        <f>'Commodity Tonnages 2018'!F12*'Pricing 2018'!F12</f>
        <v>651.77905650000014</v>
      </c>
      <c r="G12" s="311">
        <f>'Commodity Tonnages 2018'!G12*'Pricing 2018'!G12</f>
        <v>6109.8151724999998</v>
      </c>
      <c r="H12" s="311">
        <f>'Commodity Tonnages 2018'!H12*'Pricing 2018'!H12</f>
        <v>9228.7435525999954</v>
      </c>
      <c r="I12" s="311">
        <f>'Commodity Tonnages 2018'!I12*'Pricing 2018'!I12</f>
        <v>563.03278817500006</v>
      </c>
      <c r="J12" s="311">
        <f>'Commodity Tonnages 2018'!J12*'Pricing 2018'!J12</f>
        <v>563.03278817500006</v>
      </c>
      <c r="K12" s="311">
        <f>'Commodity Tonnages 2018'!K12*'Pricing 2018'!K12</f>
        <v>7567.6638608999992</v>
      </c>
      <c r="L12" s="311">
        <f>'Commodity Tonnages 2018'!L12*'Pricing 2018'!L12</f>
        <v>-4145.0294684500095</v>
      </c>
      <c r="M12" s="307">
        <f t="shared" si="0"/>
        <v>23552.836706749986</v>
      </c>
      <c r="N12" s="307"/>
      <c r="O12" s="139">
        <f t="shared" si="1"/>
        <v>11776.418353374993</v>
      </c>
      <c r="P12" s="362">
        <v>0.5</v>
      </c>
      <c r="Q12" s="361"/>
      <c r="R12" s="68"/>
    </row>
    <row r="13" spans="1:18" x14ac:dyDescent="0.2">
      <c r="A13" s="313">
        <f>+'Pricing 2018'!A13</f>
        <v>43069</v>
      </c>
      <c r="B13" s="305"/>
      <c r="C13" s="311">
        <f>'Commodity Tonnages 2018'!C13*'Pricing 2018'!C13</f>
        <v>4401.6926745000001</v>
      </c>
      <c r="D13" s="311">
        <f>'Commodity Tonnages 2018'!D13*'Pricing 2018'!D13</f>
        <v>-268.04030968000001</v>
      </c>
      <c r="E13" s="311">
        <f>'Commodity Tonnages 2018'!E13*'Pricing 2018'!E13</f>
        <v>0</v>
      </c>
      <c r="F13" s="311">
        <f>'Commodity Tonnages 2018'!F13*'Pricing 2018'!F13</f>
        <v>778.15816319999999</v>
      </c>
      <c r="G13" s="311">
        <f>'Commodity Tonnages 2018'!G13*'Pricing 2018'!G13</f>
        <v>7765.3639635000018</v>
      </c>
      <c r="H13" s="311">
        <f>'Commodity Tonnages 2018'!H13*'Pricing 2018'!H13</f>
        <v>10272.476591299992</v>
      </c>
      <c r="I13" s="311">
        <f>'Commodity Tonnages 2018'!I13*'Pricing 2018'!I13</f>
        <v>678.67922622499998</v>
      </c>
      <c r="J13" s="311">
        <f>'Commodity Tonnages 2018'!J13*'Pricing 2018'!J13</f>
        <v>678.67922622499998</v>
      </c>
      <c r="K13" s="311">
        <f>'Commodity Tonnages 2018'!K13*'Pricing 2018'!K13</f>
        <v>12289.71657276</v>
      </c>
      <c r="L13" s="311">
        <f>'Commodity Tonnages 2018'!L13*'Pricing 2018'!L13</f>
        <v>-4820.7167598700107</v>
      </c>
      <c r="M13" s="307">
        <f t="shared" si="0"/>
        <v>31776.009348159983</v>
      </c>
      <c r="N13" s="307"/>
      <c r="O13" s="139">
        <f t="shared" si="1"/>
        <v>15888.004674079992</v>
      </c>
      <c r="P13" s="362">
        <v>0.5</v>
      </c>
      <c r="Q13" s="361"/>
      <c r="R13" s="68"/>
    </row>
    <row r="14" spans="1:18" x14ac:dyDescent="0.2">
      <c r="A14" s="313">
        <f>+'Pricing 2018'!A14</f>
        <v>43100</v>
      </c>
      <c r="B14" s="305"/>
      <c r="C14" s="311">
        <f>'Commodity Tonnages 2018'!C14*'Pricing 2018'!C14</f>
        <v>4357.3433759999998</v>
      </c>
      <c r="D14" s="311">
        <f>'Commodity Tonnages 2018'!D14*'Pricing 2018'!D14</f>
        <v>-998.29851264000013</v>
      </c>
      <c r="E14" s="311">
        <f>'Commodity Tonnages 2018'!E14*'Pricing 2018'!E14</f>
        <v>0</v>
      </c>
      <c r="F14" s="311">
        <f>'Commodity Tonnages 2018'!F14*'Pricing 2018'!F14</f>
        <v>872.67735720000007</v>
      </c>
      <c r="G14" s="311">
        <f>'Commodity Tonnages 2018'!G14*'Pricing 2018'!G14</f>
        <v>7412.9810039999993</v>
      </c>
      <c r="H14" s="311">
        <f>'Commodity Tonnages 2018'!H14*'Pricing 2018'!H14</f>
        <v>9580.7500819199959</v>
      </c>
      <c r="I14" s="311">
        <f>'Commodity Tonnages 2018'!I14*'Pricing 2018'!I14</f>
        <v>692.37572652000006</v>
      </c>
      <c r="J14" s="311">
        <f>'Commodity Tonnages 2018'!J14*'Pricing 2018'!J14</f>
        <v>692.37572652000006</v>
      </c>
      <c r="K14" s="311">
        <f>'Commodity Tonnages 2018'!K14*'Pricing 2018'!K14</f>
        <v>11441.577201119999</v>
      </c>
      <c r="L14" s="311">
        <f>'Commodity Tonnages 2018'!L14*'Pricing 2018'!L14</f>
        <v>-4763.8108965600104</v>
      </c>
      <c r="M14" s="307">
        <f t="shared" si="0"/>
        <v>29287.971064079982</v>
      </c>
      <c r="N14" s="307"/>
      <c r="O14" s="139">
        <f t="shared" si="1"/>
        <v>14643.985532039991</v>
      </c>
      <c r="P14" s="362">
        <v>0.5</v>
      </c>
      <c r="Q14" s="361"/>
      <c r="R14" s="68"/>
    </row>
    <row r="15" spans="1:18" x14ac:dyDescent="0.2">
      <c r="A15" s="313">
        <f>+'Pricing 2018'!A15</f>
        <v>43131</v>
      </c>
      <c r="B15" s="305"/>
      <c r="C15" s="311">
        <f>'Commodity Tonnages 2018'!C15*'Pricing 2018'!C15</f>
        <v>5932.5490259999997</v>
      </c>
      <c r="D15" s="311">
        <f>'Commodity Tonnages 2018'!D15*'Pricing 2018'!D15</f>
        <v>-1377.7640697600002</v>
      </c>
      <c r="E15" s="311">
        <f>'Commodity Tonnages 2018'!E15*'Pricing 2018'!E15</f>
        <v>0</v>
      </c>
      <c r="F15" s="311">
        <f>'Commodity Tonnages 2018'!F15*'Pricing 2018'!F15</f>
        <v>1326.5222256</v>
      </c>
      <c r="G15" s="311">
        <f>'Commodity Tonnages 2018'!G15*'Pricing 2018'!G15</f>
        <v>6060.0992399999996</v>
      </c>
      <c r="H15" s="311">
        <f>'Commodity Tonnages 2018'!H15*'Pricing 2018'!H15</f>
        <v>10093.689113039996</v>
      </c>
      <c r="I15" s="311">
        <f>'Commodity Tonnages 2018'!I15*'Pricing 2018'!I15</f>
        <v>936.79561151999997</v>
      </c>
      <c r="J15" s="311">
        <f>'Commodity Tonnages 2018'!J15*'Pricing 2018'!J15</f>
        <v>936.79561151999997</v>
      </c>
      <c r="K15" s="311">
        <f>'Commodity Tonnages 2018'!K15*'Pricing 2018'!K15</f>
        <v>14622.820351920001</v>
      </c>
      <c r="L15" s="311">
        <f>'Commodity Tonnages 2018'!L15*'Pricing 2018'!L15</f>
        <v>-6232.0300570800146</v>
      </c>
      <c r="M15" s="307">
        <f t="shared" si="0"/>
        <v>32299.477052759979</v>
      </c>
      <c r="N15" s="307"/>
      <c r="O15" s="139">
        <f t="shared" si="1"/>
        <v>16149.73852637999</v>
      </c>
      <c r="P15" s="362">
        <v>0.5</v>
      </c>
      <c r="Q15" s="361"/>
      <c r="R15" s="68"/>
    </row>
    <row r="16" spans="1:18" x14ac:dyDescent="0.2">
      <c r="A16" s="313">
        <f>+'Pricing 2018'!A16</f>
        <v>43159</v>
      </c>
      <c r="B16" s="305"/>
      <c r="C16" s="311">
        <f>'Commodity Tonnages 2018'!C16*'Pricing 2018'!C16</f>
        <v>3939.5429587499998</v>
      </c>
      <c r="D16" s="311">
        <f>'Commodity Tonnages 2018'!D16*'Pricing 2018'!D16</f>
        <v>-752.76410039999996</v>
      </c>
      <c r="E16" s="311">
        <f>'Commodity Tonnages 2018'!E16*'Pricing 2018'!E16</f>
        <v>0</v>
      </c>
      <c r="F16" s="311">
        <f>'Commodity Tonnages 2018'!F16*'Pricing 2018'!F16</f>
        <v>813.2077139999999</v>
      </c>
      <c r="G16" s="311">
        <f>'Commodity Tonnages 2018'!G16*'Pricing 2018'!G16</f>
        <v>-1879.2152924999998</v>
      </c>
      <c r="H16" s="311">
        <f>'Commodity Tonnages 2018'!H16*'Pricing 2018'!H16</f>
        <v>-3730.6613498999977</v>
      </c>
      <c r="I16" s="311">
        <f>'Commodity Tonnages 2018'!I16*'Pricing 2018'!I16</f>
        <v>1018.268275675</v>
      </c>
      <c r="J16" s="311">
        <f>'Commodity Tonnages 2018'!J16*'Pricing 2018'!J16</f>
        <v>1018.268275675</v>
      </c>
      <c r="K16" s="311">
        <f>'Commodity Tonnages 2018'!K16*'Pricing 2018'!K16</f>
        <v>5944.7658995999991</v>
      </c>
      <c r="L16" s="311">
        <f>'Commodity Tonnages 2018'!L16*'Pricing 2018'!L16</f>
        <v>-4242.3999498500089</v>
      </c>
      <c r="M16" s="307">
        <f t="shared" si="0"/>
        <v>2129.0124310499923</v>
      </c>
      <c r="N16" s="307"/>
      <c r="O16" s="139">
        <f t="shared" si="1"/>
        <v>1064.5062155249962</v>
      </c>
      <c r="P16" s="362">
        <v>0.5</v>
      </c>
      <c r="Q16" s="361"/>
      <c r="R16" s="68"/>
    </row>
    <row r="17" spans="1:18" x14ac:dyDescent="0.2">
      <c r="A17" s="313">
        <f>+'Pricing 2018'!A17</f>
        <v>43190</v>
      </c>
      <c r="B17" s="305"/>
      <c r="C17" s="311">
        <f>'Commodity Tonnages 2018'!C17*'Pricing 2018'!C17</f>
        <v>4512.5167994999993</v>
      </c>
      <c r="D17" s="311">
        <f>'Commodity Tonnages 2018'!D17*'Pricing 2018'!D17</f>
        <v>-979.001712</v>
      </c>
      <c r="E17" s="311">
        <f>'Commodity Tonnages 2018'!E17*'Pricing 2018'!E17</f>
        <v>0</v>
      </c>
      <c r="F17" s="311">
        <f>'Commodity Tonnages 2018'!F17*'Pricing 2018'!F17</f>
        <v>1083.195993</v>
      </c>
      <c r="G17" s="311">
        <f>'Commodity Tonnages 2018'!G17*'Pricing 2018'!G17</f>
        <v>-1947.2056110000001</v>
      </c>
      <c r="H17" s="311">
        <f>'Commodity Tonnages 2018'!H17*'Pricing 2018'!H17</f>
        <v>-4235.0203885199981</v>
      </c>
      <c r="I17" s="311">
        <f>'Commodity Tonnages 2018'!I17*'Pricing 2018'!I17</f>
        <v>1453.63665588</v>
      </c>
      <c r="J17" s="311">
        <f>'Commodity Tonnages 2018'!J17*'Pricing 2018'!J17</f>
        <v>1453.63665588</v>
      </c>
      <c r="K17" s="311">
        <f>'Commodity Tonnages 2018'!K17*'Pricing 2018'!K17</f>
        <v>6215.4537310799997</v>
      </c>
      <c r="L17" s="311">
        <f>'Commodity Tonnages 2018'!L17*'Pricing 2018'!L17</f>
        <v>-4910.5051136200109</v>
      </c>
      <c r="M17" s="307">
        <f t="shared" si="0"/>
        <v>2646.7070101999898</v>
      </c>
      <c r="N17" s="307"/>
      <c r="O17" s="139">
        <f t="shared" si="1"/>
        <v>1323.3535050999949</v>
      </c>
      <c r="P17" s="362">
        <v>0.5</v>
      </c>
      <c r="Q17" s="361"/>
      <c r="R17" s="68"/>
    </row>
    <row r="18" spans="1:18" x14ac:dyDescent="0.2">
      <c r="A18" s="313">
        <f>+'Pricing 2018'!A18</f>
        <v>43220</v>
      </c>
      <c r="B18" s="305"/>
      <c r="C18" s="311">
        <f>'Commodity Tonnages 2018'!C18*'Pricing 2018'!C18</f>
        <v>4436.3746192500003</v>
      </c>
      <c r="D18" s="311">
        <f>'Commodity Tonnages 2018'!D18*'Pricing 2018'!D18</f>
        <v>-1080.8033464800003</v>
      </c>
      <c r="E18" s="311">
        <f>'Commodity Tonnages 2018'!E18*'Pricing 2018'!E18</f>
        <v>0</v>
      </c>
      <c r="F18" s="311">
        <f>'Commodity Tonnages 2018'!F18*'Pricing 2018'!F18</f>
        <v>1079.7581965500001</v>
      </c>
      <c r="G18" s="311">
        <f>'Commodity Tonnages 2018'!G18*'Pricing 2018'!G18</f>
        <v>0</v>
      </c>
      <c r="H18" s="311">
        <f>'Commodity Tonnages 2018'!H18*'Pricing 2018'!H18</f>
        <v>-6358.6897838399991</v>
      </c>
      <c r="I18" s="311">
        <f>'Commodity Tonnages 2018'!I18*'Pricing 2018'!I18</f>
        <v>1447.6608318150002</v>
      </c>
      <c r="J18" s="311">
        <f>'Commodity Tonnages 2018'!J18*'Pricing 2018'!J18</f>
        <v>1447.6608318150002</v>
      </c>
      <c r="K18" s="311">
        <f>'Commodity Tonnages 2018'!K18*'Pricing 2018'!K18</f>
        <v>6134.7145721400002</v>
      </c>
      <c r="L18" s="311">
        <f>'Commodity Tonnages 2018'!L18*'Pricing 2018'!L18</f>
        <v>-4769.3179155900107</v>
      </c>
      <c r="M18" s="307">
        <f t="shared" si="0"/>
        <v>2337.3580056599912</v>
      </c>
      <c r="N18" s="307"/>
      <c r="O18" s="139">
        <f t="shared" si="1"/>
        <v>1168.6790028299956</v>
      </c>
      <c r="P18" s="362">
        <v>0.5</v>
      </c>
      <c r="Q18" s="361"/>
      <c r="R18" s="68"/>
    </row>
    <row r="19" spans="1:18" ht="6.75" customHeight="1" x14ac:dyDescent="0.2">
      <c r="A19" s="305"/>
      <c r="B19" s="305"/>
      <c r="C19" s="311"/>
      <c r="D19" s="311"/>
      <c r="E19" s="311"/>
      <c r="F19" s="311"/>
      <c r="G19" s="311"/>
      <c r="H19" s="311"/>
      <c r="I19" s="311"/>
      <c r="J19" s="311"/>
      <c r="K19" s="311"/>
      <c r="L19" s="311"/>
      <c r="M19" s="307"/>
      <c r="N19" s="186"/>
      <c r="O19" s="307"/>
      <c r="Q19" s="360"/>
    </row>
    <row r="20" spans="1:18" x14ac:dyDescent="0.2">
      <c r="A20" s="310" t="s">
        <v>33</v>
      </c>
      <c r="B20" s="305"/>
      <c r="C20" s="309">
        <f t="shared" ref="C20:L20" si="2">SUM(C7:C19)</f>
        <v>50612.072918249993</v>
      </c>
      <c r="D20" s="309">
        <f t="shared" si="2"/>
        <v>-10155.903853680002</v>
      </c>
      <c r="E20" s="309">
        <f t="shared" si="2"/>
        <v>0</v>
      </c>
      <c r="F20" s="309">
        <f t="shared" si="2"/>
        <v>10090.341546449999</v>
      </c>
      <c r="G20" s="309">
        <f t="shared" si="2"/>
        <v>66851.535289499996</v>
      </c>
      <c r="H20" s="309">
        <f t="shared" si="2"/>
        <v>91618.071657519919</v>
      </c>
      <c r="I20" s="309">
        <f t="shared" si="2"/>
        <v>11634.024191979999</v>
      </c>
      <c r="J20" s="309">
        <f t="shared" si="2"/>
        <v>11634.024191979999</v>
      </c>
      <c r="K20" s="309">
        <f t="shared" si="2"/>
        <v>135903.06542735998</v>
      </c>
      <c r="L20" s="309">
        <f t="shared" si="2"/>
        <v>-56449.419225470134</v>
      </c>
      <c r="M20" s="308">
        <f>SUM(C20:L20)</f>
        <v>311737.81214388972</v>
      </c>
      <c r="N20" s="306"/>
      <c r="O20" s="308">
        <f>SUM(O7:O19)</f>
        <v>155868.90607194492</v>
      </c>
      <c r="P20" s="113">
        <f>+O20/M20</f>
        <v>0.50000000000000022</v>
      </c>
      <c r="Q20" s="360"/>
    </row>
    <row r="21" spans="1:18" x14ac:dyDescent="0.2">
      <c r="A21" s="305"/>
      <c r="B21" s="305"/>
      <c r="C21" s="307"/>
      <c r="D21" s="307"/>
      <c r="E21" s="307"/>
      <c r="F21" s="307"/>
      <c r="G21" s="307"/>
      <c r="H21" s="307"/>
      <c r="I21" s="307"/>
      <c r="J21" s="307"/>
      <c r="K21" s="307"/>
      <c r="L21" s="307"/>
      <c r="M21" s="307"/>
      <c r="N21" s="186"/>
      <c r="O21" s="304"/>
    </row>
    <row r="22" spans="1:18" x14ac:dyDescent="0.2">
      <c r="A22" s="305"/>
      <c r="B22" s="305"/>
      <c r="C22" s="305"/>
      <c r="D22" s="305"/>
      <c r="E22" s="305"/>
      <c r="F22" s="305"/>
      <c r="G22" s="305"/>
      <c r="H22" s="305"/>
      <c r="I22" s="305"/>
      <c r="J22" s="305"/>
      <c r="K22" s="305"/>
      <c r="L22" s="305"/>
      <c r="M22" s="306"/>
      <c r="N22" s="186"/>
      <c r="O22" s="304"/>
    </row>
    <row r="23" spans="1:18" x14ac:dyDescent="0.2">
      <c r="A23" s="305"/>
      <c r="B23" s="305"/>
      <c r="C23" s="305"/>
      <c r="D23" s="305"/>
      <c r="E23" s="305"/>
      <c r="F23" s="305"/>
      <c r="G23" s="305"/>
      <c r="H23" s="305"/>
      <c r="I23" s="305"/>
      <c r="J23" s="305"/>
      <c r="K23" s="305"/>
    </row>
    <row r="24" spans="1:18" x14ac:dyDescent="0.2">
      <c r="A24" s="305"/>
      <c r="B24" s="305"/>
      <c r="C24" s="305"/>
      <c r="D24" s="305"/>
      <c r="E24" s="305"/>
      <c r="F24" s="305"/>
      <c r="G24" s="305"/>
      <c r="H24" s="305"/>
      <c r="I24" s="305"/>
      <c r="J24" s="305"/>
      <c r="K24" s="305"/>
    </row>
    <row r="25" spans="1:18" x14ac:dyDescent="0.2">
      <c r="A25" s="305"/>
      <c r="B25" s="305"/>
      <c r="C25" s="305"/>
      <c r="D25" s="305"/>
      <c r="E25" s="305"/>
      <c r="F25" s="305"/>
      <c r="G25" s="305"/>
      <c r="H25" s="305"/>
      <c r="I25" s="305"/>
      <c r="J25" s="305"/>
      <c r="K25" s="305"/>
    </row>
    <row r="26" spans="1:18" x14ac:dyDescent="0.2">
      <c r="A26" s="305"/>
      <c r="B26" s="305"/>
      <c r="C26" s="305"/>
      <c r="D26" s="305"/>
      <c r="E26" s="305"/>
      <c r="F26" s="305"/>
      <c r="G26" s="305"/>
      <c r="H26" s="305"/>
      <c r="I26" s="305"/>
      <c r="J26" s="305"/>
      <c r="K26" s="305"/>
    </row>
    <row r="27" spans="1:18" x14ac:dyDescent="0.2">
      <c r="A27" s="305"/>
      <c r="B27" s="305"/>
      <c r="C27" s="305"/>
      <c r="D27" s="305"/>
      <c r="E27" s="305"/>
      <c r="F27" s="305"/>
      <c r="G27" s="305"/>
      <c r="H27" s="305"/>
      <c r="I27" s="305"/>
      <c r="J27" s="305"/>
      <c r="K27" s="305"/>
    </row>
    <row r="28" spans="1:18" x14ac:dyDescent="0.2">
      <c r="A28" s="305"/>
      <c r="B28" s="305"/>
      <c r="C28" s="305"/>
      <c r="D28" s="305"/>
      <c r="E28" s="305"/>
      <c r="F28" s="305"/>
      <c r="G28" s="305"/>
      <c r="H28" s="305"/>
      <c r="I28" s="305"/>
      <c r="J28" s="305"/>
      <c r="K28" s="305"/>
    </row>
    <row r="29" spans="1:18" x14ac:dyDescent="0.2">
      <c r="A29" s="305"/>
      <c r="B29" s="305"/>
      <c r="C29" s="305"/>
      <c r="D29" s="305"/>
      <c r="E29" s="305"/>
      <c r="F29" s="305"/>
      <c r="G29" s="305"/>
      <c r="H29" s="305"/>
      <c r="I29" s="305"/>
      <c r="J29" s="305"/>
      <c r="K29" s="305"/>
    </row>
    <row r="30" spans="1:18" x14ac:dyDescent="0.2">
      <c r="A30" s="305"/>
      <c r="B30" s="305"/>
      <c r="C30" s="305"/>
      <c r="D30" s="305"/>
      <c r="E30" s="305"/>
      <c r="F30" s="305"/>
      <c r="G30" s="305"/>
      <c r="H30" s="305"/>
      <c r="I30" s="305"/>
      <c r="J30" s="305"/>
      <c r="K30" s="305"/>
    </row>
    <row r="31" spans="1:18" x14ac:dyDescent="0.2">
      <c r="A31" s="305"/>
      <c r="B31" s="305"/>
      <c r="C31" s="305"/>
      <c r="D31" s="305"/>
      <c r="E31" s="305"/>
      <c r="F31" s="305"/>
      <c r="G31" s="305"/>
      <c r="H31" s="305"/>
      <c r="I31" s="305"/>
      <c r="J31" s="305"/>
      <c r="K31" s="305"/>
    </row>
    <row r="32" spans="1:18" x14ac:dyDescent="0.2">
      <c r="A32" s="305"/>
      <c r="B32" s="305"/>
      <c r="C32" s="305"/>
      <c r="D32" s="305"/>
      <c r="E32" s="305"/>
      <c r="F32" s="305"/>
      <c r="G32" s="305"/>
      <c r="H32" s="305"/>
      <c r="I32" s="305"/>
      <c r="J32" s="305"/>
      <c r="K32" s="305"/>
    </row>
    <row r="33" spans="1:11" x14ac:dyDescent="0.2">
      <c r="A33" s="305"/>
      <c r="B33" s="305"/>
      <c r="C33" s="305"/>
      <c r="D33" s="305"/>
      <c r="E33" s="305"/>
      <c r="F33" s="305"/>
      <c r="G33" s="305"/>
      <c r="H33" s="305"/>
      <c r="I33" s="305"/>
      <c r="J33" s="305"/>
      <c r="K33" s="305"/>
    </row>
    <row r="34" spans="1:11" x14ac:dyDescent="0.2">
      <c r="A34" s="305"/>
      <c r="B34" s="305"/>
      <c r="C34" s="305"/>
      <c r="D34" s="305"/>
      <c r="E34" s="305"/>
      <c r="F34" s="305"/>
      <c r="G34" s="305"/>
      <c r="H34" s="305"/>
      <c r="I34" s="305"/>
      <c r="J34" s="305"/>
      <c r="K34" s="305"/>
    </row>
    <row r="35" spans="1:11" x14ac:dyDescent="0.2">
      <c r="A35" s="305"/>
      <c r="B35" s="305"/>
      <c r="C35" s="305"/>
      <c r="D35" s="305"/>
      <c r="E35" s="305"/>
      <c r="F35" s="305"/>
      <c r="G35" s="305"/>
      <c r="H35" s="305"/>
      <c r="I35" s="305"/>
      <c r="J35" s="305"/>
      <c r="K35" s="305"/>
    </row>
    <row r="36" spans="1:11" x14ac:dyDescent="0.2">
      <c r="A36" s="305"/>
      <c r="B36" s="305"/>
      <c r="C36" s="305"/>
      <c r="D36" s="305"/>
      <c r="E36" s="305"/>
      <c r="F36" s="305"/>
      <c r="G36" s="305"/>
      <c r="H36" s="305"/>
      <c r="I36" s="305"/>
      <c r="J36" s="305"/>
      <c r="K36" s="305"/>
    </row>
    <row r="37" spans="1:11" x14ac:dyDescent="0.2">
      <c r="A37" s="305"/>
      <c r="B37" s="305"/>
      <c r="C37" s="305"/>
      <c r="D37" s="305"/>
      <c r="E37" s="305"/>
      <c r="F37" s="305"/>
      <c r="G37" s="305"/>
      <c r="H37" s="305"/>
      <c r="I37" s="305"/>
      <c r="J37" s="305"/>
      <c r="K37" s="305"/>
    </row>
    <row r="38" spans="1:11" x14ac:dyDescent="0.2">
      <c r="A38" s="305"/>
      <c r="B38" s="305"/>
      <c r="C38" s="305"/>
      <c r="D38" s="305"/>
      <c r="E38" s="305"/>
      <c r="F38" s="305"/>
      <c r="G38" s="305"/>
      <c r="H38" s="305"/>
      <c r="I38" s="305"/>
      <c r="J38" s="305"/>
      <c r="K38" s="305"/>
    </row>
    <row r="39" spans="1:11" x14ac:dyDescent="0.2">
      <c r="A39" s="305"/>
      <c r="B39" s="305"/>
      <c r="C39" s="305"/>
      <c r="D39" s="305"/>
      <c r="E39" s="305"/>
      <c r="F39" s="305"/>
      <c r="G39" s="305"/>
      <c r="H39" s="305"/>
      <c r="I39" s="305"/>
      <c r="J39" s="305"/>
      <c r="K39" s="305"/>
    </row>
    <row r="40" spans="1:11" x14ac:dyDescent="0.2">
      <c r="A40" s="305"/>
      <c r="B40" s="305"/>
      <c r="C40" s="305"/>
      <c r="D40" s="305"/>
      <c r="E40" s="305"/>
      <c r="F40" s="305"/>
      <c r="G40" s="305"/>
      <c r="H40" s="305"/>
      <c r="I40" s="305"/>
      <c r="J40" s="305"/>
      <c r="K40" s="305"/>
    </row>
    <row r="41" spans="1:11" x14ac:dyDescent="0.2">
      <c r="A41" s="305"/>
      <c r="B41" s="305"/>
      <c r="C41" s="305"/>
      <c r="D41" s="305"/>
      <c r="E41" s="305"/>
      <c r="F41" s="305"/>
      <c r="G41" s="305"/>
      <c r="H41" s="305"/>
      <c r="I41" s="305"/>
      <c r="J41" s="305"/>
      <c r="K41" s="305"/>
    </row>
    <row r="42" spans="1:11" x14ac:dyDescent="0.2">
      <c r="A42" s="305"/>
      <c r="B42" s="305"/>
      <c r="C42" s="305"/>
      <c r="D42" s="305"/>
      <c r="E42" s="305"/>
      <c r="F42" s="305"/>
      <c r="G42" s="305"/>
      <c r="H42" s="305"/>
      <c r="I42" s="305"/>
      <c r="J42" s="305"/>
      <c r="K42" s="305"/>
    </row>
    <row r="43" spans="1:11" x14ac:dyDescent="0.2">
      <c r="A43" s="305"/>
      <c r="B43" s="305"/>
      <c r="C43" s="305"/>
      <c r="D43" s="305"/>
      <c r="E43" s="305"/>
      <c r="F43" s="305"/>
      <c r="G43" s="305"/>
      <c r="H43" s="305"/>
      <c r="I43" s="305"/>
      <c r="J43" s="305"/>
      <c r="K43" s="305"/>
    </row>
    <row r="44" spans="1:11" x14ac:dyDescent="0.2">
      <c r="A44" s="305"/>
      <c r="B44" s="305"/>
      <c r="C44" s="305"/>
      <c r="D44" s="305"/>
      <c r="E44" s="305"/>
      <c r="F44" s="305"/>
      <c r="G44" s="305"/>
      <c r="H44" s="305"/>
      <c r="I44" s="305"/>
      <c r="J44" s="305"/>
      <c r="K44" s="305"/>
    </row>
    <row r="45" spans="1:11" x14ac:dyDescent="0.2">
      <c r="A45" s="305"/>
      <c r="B45" s="305"/>
      <c r="C45" s="305"/>
      <c r="D45" s="305"/>
      <c r="E45" s="305"/>
      <c r="F45" s="305"/>
      <c r="G45" s="305"/>
      <c r="H45" s="305"/>
      <c r="I45" s="305"/>
      <c r="J45" s="305"/>
      <c r="K45" s="305"/>
    </row>
    <row r="46" spans="1:11" x14ac:dyDescent="0.2">
      <c r="A46" s="305"/>
      <c r="B46" s="305"/>
      <c r="C46" s="305"/>
      <c r="D46" s="305"/>
      <c r="E46" s="305"/>
      <c r="F46" s="305"/>
      <c r="G46" s="305"/>
      <c r="H46" s="305"/>
      <c r="I46" s="305"/>
      <c r="J46" s="305"/>
      <c r="K46" s="305"/>
    </row>
    <row r="47" spans="1:11" x14ac:dyDescent="0.2">
      <c r="A47" s="305"/>
      <c r="B47" s="305"/>
      <c r="C47" s="305"/>
      <c r="D47" s="305"/>
      <c r="E47" s="305"/>
      <c r="F47" s="305"/>
      <c r="G47" s="305"/>
      <c r="H47" s="305"/>
      <c r="I47" s="305"/>
      <c r="J47" s="305"/>
      <c r="K47" s="305"/>
    </row>
    <row r="48" spans="1:11" x14ac:dyDescent="0.2">
      <c r="A48" s="305"/>
      <c r="B48" s="305"/>
      <c r="C48" s="305"/>
      <c r="D48" s="305"/>
      <c r="E48" s="305"/>
      <c r="F48" s="305"/>
      <c r="G48" s="305"/>
      <c r="H48" s="305"/>
      <c r="I48" s="305"/>
      <c r="J48" s="305"/>
      <c r="K48" s="305"/>
    </row>
    <row r="49" spans="1:11" x14ac:dyDescent="0.2">
      <c r="A49" s="305"/>
      <c r="B49" s="305"/>
      <c r="C49" s="305"/>
      <c r="D49" s="305"/>
      <c r="E49" s="305"/>
      <c r="F49" s="305"/>
      <c r="G49" s="305"/>
      <c r="H49" s="305"/>
      <c r="I49" s="305"/>
      <c r="J49" s="305"/>
      <c r="K49" s="305"/>
    </row>
    <row r="50" spans="1:11" x14ac:dyDescent="0.2">
      <c r="A50" s="305"/>
      <c r="B50" s="305"/>
      <c r="C50" s="305"/>
      <c r="D50" s="305"/>
      <c r="E50" s="305"/>
      <c r="F50" s="305"/>
      <c r="G50" s="305"/>
      <c r="H50" s="305"/>
      <c r="I50" s="305"/>
      <c r="J50" s="305"/>
      <c r="K50" s="305"/>
    </row>
    <row r="51" spans="1:11" x14ac:dyDescent="0.2">
      <c r="A51" s="305"/>
      <c r="B51" s="305"/>
      <c r="C51" s="305"/>
      <c r="D51" s="305"/>
      <c r="E51" s="305"/>
      <c r="F51" s="305"/>
      <c r="G51" s="305"/>
      <c r="H51" s="305"/>
      <c r="I51" s="305"/>
      <c r="J51" s="305"/>
      <c r="K51" s="305"/>
    </row>
    <row r="52" spans="1:11" x14ac:dyDescent="0.2">
      <c r="A52" s="305"/>
      <c r="B52" s="305"/>
      <c r="C52" s="305"/>
      <c r="D52" s="305"/>
      <c r="E52" s="305"/>
      <c r="F52" s="305"/>
      <c r="G52" s="305"/>
      <c r="H52" s="305"/>
      <c r="I52" s="305"/>
      <c r="J52" s="305"/>
      <c r="K52" s="305"/>
    </row>
    <row r="53" spans="1:11" x14ac:dyDescent="0.2">
      <c r="A53" s="305"/>
      <c r="B53" s="305"/>
      <c r="C53" s="305"/>
      <c r="D53" s="305"/>
      <c r="E53" s="305"/>
      <c r="F53" s="305"/>
      <c r="G53" s="305"/>
      <c r="H53" s="305"/>
      <c r="I53" s="305"/>
      <c r="J53" s="305"/>
      <c r="K53" s="305"/>
    </row>
    <row r="54" spans="1:11" x14ac:dyDescent="0.2">
      <c r="A54" s="305"/>
      <c r="B54" s="305"/>
      <c r="C54" s="305"/>
      <c r="D54" s="305"/>
      <c r="E54" s="305"/>
      <c r="F54" s="305"/>
      <c r="G54" s="305"/>
      <c r="H54" s="305"/>
      <c r="I54" s="305"/>
      <c r="J54" s="305"/>
      <c r="K54" s="305"/>
    </row>
    <row r="55" spans="1:11" x14ac:dyDescent="0.2">
      <c r="A55" s="305"/>
      <c r="B55" s="305"/>
      <c r="C55" s="305"/>
      <c r="D55" s="305"/>
      <c r="E55" s="305"/>
      <c r="F55" s="305"/>
      <c r="G55" s="305"/>
      <c r="H55" s="305"/>
      <c r="I55" s="305"/>
      <c r="J55" s="305"/>
      <c r="K55" s="305"/>
    </row>
    <row r="56" spans="1:11" x14ac:dyDescent="0.2">
      <c r="A56" s="305"/>
      <c r="B56" s="305"/>
      <c r="C56" s="305"/>
      <c r="D56" s="305"/>
      <c r="E56" s="305"/>
      <c r="F56" s="305"/>
      <c r="G56" s="305"/>
      <c r="H56" s="305"/>
      <c r="I56" s="305"/>
      <c r="J56" s="305"/>
      <c r="K56" s="305"/>
    </row>
    <row r="57" spans="1:11" x14ac:dyDescent="0.2">
      <c r="A57" s="305"/>
      <c r="B57" s="305"/>
      <c r="C57" s="305"/>
      <c r="D57" s="305"/>
      <c r="E57" s="305"/>
      <c r="F57" s="305"/>
      <c r="G57" s="305"/>
      <c r="H57" s="305"/>
      <c r="I57" s="305"/>
      <c r="J57" s="305"/>
      <c r="K57" s="305"/>
    </row>
    <row r="58" spans="1:11" x14ac:dyDescent="0.2">
      <c r="A58" s="305"/>
      <c r="B58" s="305"/>
      <c r="C58" s="305"/>
      <c r="D58" s="305"/>
      <c r="E58" s="305"/>
      <c r="F58" s="305"/>
      <c r="G58" s="305"/>
      <c r="H58" s="305"/>
      <c r="I58" s="305"/>
      <c r="J58" s="305"/>
      <c r="K58" s="305"/>
    </row>
    <row r="59" spans="1:11" x14ac:dyDescent="0.2">
      <c r="A59" s="305"/>
      <c r="B59" s="305"/>
      <c r="C59" s="305"/>
      <c r="D59" s="305"/>
      <c r="E59" s="305"/>
      <c r="F59" s="305"/>
      <c r="G59" s="305"/>
      <c r="H59" s="305"/>
      <c r="I59" s="305"/>
      <c r="J59" s="305"/>
      <c r="K59" s="305"/>
    </row>
    <row r="60" spans="1:11" x14ac:dyDescent="0.2">
      <c r="A60" s="305"/>
      <c r="B60" s="305"/>
      <c r="C60" s="305"/>
      <c r="D60" s="305"/>
      <c r="E60" s="305"/>
      <c r="F60" s="305"/>
      <c r="G60" s="305"/>
      <c r="H60" s="305"/>
      <c r="I60" s="305"/>
      <c r="J60" s="305"/>
      <c r="K60" s="305"/>
    </row>
    <row r="61" spans="1:11" x14ac:dyDescent="0.2">
      <c r="A61" s="305"/>
      <c r="B61" s="305"/>
      <c r="C61" s="305"/>
      <c r="D61" s="305"/>
      <c r="E61" s="305"/>
      <c r="F61" s="305"/>
      <c r="G61" s="305"/>
      <c r="H61" s="305"/>
      <c r="I61" s="305"/>
      <c r="J61" s="305"/>
      <c r="K61" s="305"/>
    </row>
    <row r="62" spans="1:11" x14ac:dyDescent="0.2">
      <c r="A62" s="305"/>
      <c r="B62" s="305"/>
      <c r="C62" s="305"/>
      <c r="D62" s="305"/>
      <c r="E62" s="305"/>
      <c r="F62" s="305"/>
      <c r="G62" s="305"/>
      <c r="H62" s="305"/>
      <c r="I62" s="305"/>
      <c r="J62" s="305"/>
      <c r="K62" s="305"/>
    </row>
    <row r="63" spans="1:11" x14ac:dyDescent="0.2">
      <c r="A63" s="305"/>
      <c r="B63" s="305"/>
      <c r="C63" s="305"/>
      <c r="D63" s="305"/>
      <c r="E63" s="305"/>
      <c r="F63" s="305"/>
      <c r="G63" s="305"/>
      <c r="H63" s="305"/>
      <c r="I63" s="305"/>
      <c r="J63" s="305"/>
      <c r="K63" s="305"/>
    </row>
    <row r="64" spans="1:11" x14ac:dyDescent="0.2">
      <c r="A64" s="305"/>
      <c r="B64" s="305"/>
      <c r="C64" s="305"/>
      <c r="D64" s="305"/>
      <c r="E64" s="305"/>
      <c r="F64" s="305"/>
      <c r="G64" s="305"/>
      <c r="H64" s="305"/>
      <c r="I64" s="305"/>
      <c r="J64" s="305"/>
      <c r="K64" s="305"/>
    </row>
    <row r="65" spans="1:11" x14ac:dyDescent="0.2">
      <c r="A65" s="305"/>
      <c r="B65" s="305"/>
      <c r="C65" s="305"/>
      <c r="D65" s="305"/>
      <c r="E65" s="305"/>
      <c r="F65" s="305"/>
      <c r="G65" s="305"/>
      <c r="H65" s="305"/>
      <c r="I65" s="305"/>
      <c r="J65" s="305"/>
      <c r="K65" s="305"/>
    </row>
    <row r="66" spans="1:11" x14ac:dyDescent="0.2">
      <c r="A66" s="305"/>
      <c r="B66" s="305"/>
      <c r="C66" s="305"/>
      <c r="D66" s="305"/>
      <c r="E66" s="305"/>
      <c r="F66" s="305"/>
      <c r="G66" s="305"/>
      <c r="H66" s="305"/>
      <c r="I66" s="305"/>
      <c r="J66" s="305"/>
      <c r="K66" s="305"/>
    </row>
    <row r="67" spans="1:11" x14ac:dyDescent="0.2">
      <c r="A67" s="305"/>
      <c r="B67" s="305"/>
      <c r="C67" s="305"/>
      <c r="D67" s="305"/>
      <c r="E67" s="305"/>
      <c r="F67" s="305"/>
      <c r="G67" s="305"/>
      <c r="H67" s="305"/>
      <c r="I67" s="305"/>
      <c r="J67" s="305"/>
      <c r="K67" s="305"/>
    </row>
    <row r="68" spans="1:11" x14ac:dyDescent="0.2">
      <c r="A68" s="305"/>
      <c r="B68" s="305"/>
      <c r="C68" s="305"/>
      <c r="D68" s="305"/>
      <c r="E68" s="305"/>
      <c r="F68" s="305"/>
      <c r="G68" s="305"/>
      <c r="H68" s="305"/>
      <c r="I68" s="305"/>
      <c r="J68" s="305"/>
      <c r="K68" s="305"/>
    </row>
    <row r="69" spans="1:11" x14ac:dyDescent="0.2">
      <c r="A69" s="305"/>
      <c r="B69" s="305"/>
      <c r="C69" s="305"/>
      <c r="D69" s="305"/>
      <c r="E69" s="305"/>
      <c r="F69" s="305"/>
      <c r="G69" s="305"/>
      <c r="H69" s="305"/>
      <c r="I69" s="305"/>
      <c r="J69" s="305"/>
      <c r="K69" s="305"/>
    </row>
    <row r="70" spans="1:11" x14ac:dyDescent="0.2">
      <c r="A70" s="305"/>
      <c r="B70" s="305"/>
      <c r="C70" s="305"/>
      <c r="D70" s="305"/>
      <c r="E70" s="305"/>
      <c r="F70" s="305"/>
      <c r="G70" s="305"/>
      <c r="H70" s="305"/>
      <c r="I70" s="305"/>
      <c r="J70" s="305"/>
      <c r="K70" s="305"/>
    </row>
    <row r="71" spans="1:11" x14ac:dyDescent="0.2">
      <c r="A71" s="305"/>
      <c r="B71" s="305"/>
      <c r="C71" s="305"/>
      <c r="D71" s="305"/>
      <c r="E71" s="305"/>
      <c r="F71" s="305"/>
      <c r="G71" s="305"/>
      <c r="H71" s="305"/>
      <c r="I71" s="305"/>
      <c r="J71" s="305"/>
      <c r="K71" s="305"/>
    </row>
    <row r="72" spans="1:11" x14ac:dyDescent="0.2">
      <c r="A72" s="305"/>
      <c r="B72" s="305"/>
      <c r="C72" s="305"/>
      <c r="D72" s="305"/>
      <c r="E72" s="305"/>
      <c r="F72" s="305"/>
      <c r="G72" s="305"/>
      <c r="H72" s="305"/>
      <c r="I72" s="305"/>
      <c r="J72" s="305"/>
      <c r="K72" s="305"/>
    </row>
    <row r="73" spans="1:11" x14ac:dyDescent="0.2">
      <c r="A73" s="305"/>
      <c r="B73" s="305"/>
      <c r="C73" s="305"/>
      <c r="D73" s="305"/>
      <c r="E73" s="305"/>
      <c r="F73" s="305"/>
      <c r="G73" s="305"/>
      <c r="H73" s="305"/>
      <c r="I73" s="305"/>
      <c r="J73" s="305"/>
      <c r="K73" s="305"/>
    </row>
    <row r="74" spans="1:11" x14ac:dyDescent="0.2">
      <c r="A74" s="305"/>
      <c r="B74" s="305"/>
      <c r="C74" s="305"/>
      <c r="D74" s="305"/>
      <c r="E74" s="305"/>
      <c r="F74" s="305"/>
      <c r="G74" s="305"/>
      <c r="H74" s="305"/>
      <c r="I74" s="305"/>
      <c r="J74" s="305"/>
      <c r="K74" s="305"/>
    </row>
    <row r="75" spans="1:11" x14ac:dyDescent="0.2">
      <c r="A75" s="305"/>
      <c r="B75" s="305"/>
      <c r="C75" s="305"/>
      <c r="D75" s="305"/>
      <c r="E75" s="305"/>
      <c r="F75" s="305"/>
      <c r="G75" s="305"/>
      <c r="H75" s="305"/>
      <c r="I75" s="305"/>
      <c r="J75" s="305"/>
      <c r="K75" s="305"/>
    </row>
    <row r="76" spans="1:11" x14ac:dyDescent="0.2">
      <c r="A76" s="305"/>
      <c r="B76" s="305"/>
      <c r="C76" s="305"/>
      <c r="D76" s="305"/>
      <c r="E76" s="305"/>
      <c r="F76" s="305"/>
      <c r="G76" s="305"/>
      <c r="H76" s="305"/>
      <c r="I76" s="305"/>
      <c r="J76" s="305"/>
      <c r="K76" s="305"/>
    </row>
    <row r="77" spans="1:11" x14ac:dyDescent="0.2">
      <c r="A77" s="305"/>
      <c r="B77" s="305"/>
      <c r="C77" s="305"/>
      <c r="D77" s="305"/>
      <c r="E77" s="305"/>
      <c r="F77" s="305"/>
      <c r="G77" s="305"/>
      <c r="H77" s="305"/>
      <c r="I77" s="305"/>
      <c r="J77" s="305"/>
      <c r="K77" s="305"/>
    </row>
    <row r="78" spans="1:11" x14ac:dyDescent="0.2">
      <c r="A78" s="305"/>
      <c r="B78" s="305"/>
      <c r="C78" s="305"/>
      <c r="D78" s="305"/>
      <c r="E78" s="305"/>
      <c r="F78" s="305"/>
      <c r="G78" s="305"/>
      <c r="H78" s="305"/>
      <c r="I78" s="305"/>
      <c r="J78" s="305"/>
      <c r="K78" s="305"/>
    </row>
    <row r="79" spans="1:11" x14ac:dyDescent="0.2">
      <c r="A79" s="305"/>
      <c r="B79" s="305"/>
      <c r="C79" s="305"/>
      <c r="D79" s="305"/>
      <c r="E79" s="305"/>
      <c r="F79" s="305"/>
      <c r="G79" s="305"/>
      <c r="H79" s="305"/>
      <c r="I79" s="305"/>
      <c r="J79" s="305"/>
      <c r="K79" s="305"/>
    </row>
    <row r="80" spans="1:11" x14ac:dyDescent="0.2">
      <c r="A80" s="305"/>
      <c r="B80" s="305"/>
      <c r="C80" s="305"/>
      <c r="D80" s="305"/>
      <c r="E80" s="305"/>
      <c r="F80" s="305"/>
      <c r="G80" s="305"/>
      <c r="H80" s="305"/>
      <c r="I80" s="305"/>
      <c r="J80" s="305"/>
      <c r="K80" s="305"/>
    </row>
    <row r="81" spans="1:11" x14ac:dyDescent="0.2">
      <c r="A81" s="305"/>
      <c r="B81" s="305"/>
      <c r="C81" s="305"/>
      <c r="D81" s="305"/>
      <c r="E81" s="305"/>
      <c r="F81" s="305"/>
      <c r="G81" s="305"/>
      <c r="H81" s="305"/>
      <c r="I81" s="305"/>
      <c r="J81" s="305"/>
      <c r="K81" s="305"/>
    </row>
    <row r="82" spans="1:11" x14ac:dyDescent="0.2">
      <c r="A82" s="305"/>
      <c r="B82" s="305"/>
      <c r="C82" s="305"/>
      <c r="D82" s="305"/>
      <c r="E82" s="305"/>
      <c r="F82" s="305"/>
      <c r="G82" s="305"/>
      <c r="H82" s="305"/>
      <c r="I82" s="305"/>
      <c r="J82" s="305"/>
      <c r="K82" s="305"/>
    </row>
    <row r="83" spans="1:11" x14ac:dyDescent="0.2">
      <c r="A83" s="305"/>
      <c r="B83" s="305"/>
      <c r="C83" s="305"/>
      <c r="D83" s="305"/>
      <c r="E83" s="305"/>
      <c r="F83" s="305"/>
      <c r="G83" s="305"/>
      <c r="H83" s="305"/>
      <c r="I83" s="305"/>
      <c r="J83" s="305"/>
      <c r="K83" s="305"/>
    </row>
    <row r="84" spans="1:11" x14ac:dyDescent="0.2">
      <c r="A84" s="305"/>
      <c r="B84" s="305"/>
      <c r="C84" s="305"/>
      <c r="D84" s="305"/>
      <c r="E84" s="305"/>
      <c r="F84" s="305"/>
      <c r="G84" s="305"/>
      <c r="H84" s="305"/>
      <c r="I84" s="305"/>
      <c r="J84" s="305"/>
      <c r="K84" s="305"/>
    </row>
    <row r="85" spans="1:11" x14ac:dyDescent="0.2">
      <c r="A85" s="305"/>
      <c r="B85" s="305"/>
      <c r="C85" s="305"/>
      <c r="D85" s="305"/>
      <c r="E85" s="305"/>
      <c r="F85" s="305"/>
      <c r="G85" s="305"/>
      <c r="H85" s="305"/>
      <c r="I85" s="305"/>
      <c r="J85" s="305"/>
      <c r="K85" s="305"/>
    </row>
    <row r="86" spans="1:11" x14ac:dyDescent="0.2">
      <c r="A86" s="305"/>
      <c r="B86" s="305"/>
      <c r="C86" s="305"/>
      <c r="D86" s="305"/>
      <c r="E86" s="305"/>
      <c r="F86" s="305"/>
      <c r="G86" s="305"/>
      <c r="H86" s="305"/>
      <c r="I86" s="305"/>
      <c r="J86" s="305"/>
      <c r="K86" s="305"/>
    </row>
    <row r="87" spans="1:11" x14ac:dyDescent="0.2">
      <c r="A87" s="305"/>
      <c r="B87" s="305"/>
      <c r="C87" s="305"/>
      <c r="D87" s="305"/>
      <c r="E87" s="305"/>
      <c r="F87" s="305"/>
      <c r="G87" s="305"/>
      <c r="H87" s="305"/>
      <c r="I87" s="305"/>
      <c r="J87" s="305"/>
      <c r="K87" s="305"/>
    </row>
    <row r="88" spans="1:11" x14ac:dyDescent="0.2">
      <c r="A88" s="305"/>
      <c r="B88" s="305"/>
      <c r="C88" s="305"/>
      <c r="D88" s="305"/>
      <c r="E88" s="305"/>
      <c r="F88" s="305"/>
      <c r="G88" s="305"/>
      <c r="H88" s="305"/>
      <c r="I88" s="305"/>
      <c r="J88" s="305"/>
      <c r="K88" s="305"/>
    </row>
    <row r="89" spans="1:11" x14ac:dyDescent="0.2">
      <c r="A89" s="305"/>
      <c r="B89" s="305"/>
      <c r="C89" s="305"/>
      <c r="D89" s="305"/>
      <c r="E89" s="305"/>
      <c r="F89" s="305"/>
      <c r="G89" s="305"/>
      <c r="H89" s="305"/>
      <c r="I89" s="305"/>
      <c r="J89" s="305"/>
      <c r="K89" s="305"/>
    </row>
    <row r="90" spans="1:11" x14ac:dyDescent="0.2">
      <c r="A90" s="305"/>
      <c r="B90" s="305"/>
      <c r="C90" s="305"/>
      <c r="D90" s="305"/>
      <c r="E90" s="305"/>
      <c r="F90" s="305"/>
      <c r="G90" s="305"/>
      <c r="H90" s="305"/>
      <c r="I90" s="305"/>
      <c r="J90" s="305"/>
      <c r="K90" s="305"/>
    </row>
    <row r="91" spans="1:11" x14ac:dyDescent="0.2">
      <c r="A91" s="305"/>
      <c r="B91" s="305"/>
      <c r="C91" s="305"/>
      <c r="D91" s="305"/>
      <c r="E91" s="305"/>
      <c r="F91" s="305"/>
      <c r="G91" s="305"/>
      <c r="H91" s="305"/>
      <c r="I91" s="305"/>
      <c r="J91" s="305"/>
      <c r="K91" s="305"/>
    </row>
    <row r="92" spans="1:11" x14ac:dyDescent="0.2">
      <c r="A92" s="305"/>
      <c r="B92" s="305"/>
      <c r="C92" s="305"/>
      <c r="D92" s="305"/>
      <c r="E92" s="305"/>
      <c r="F92" s="305"/>
      <c r="G92" s="305"/>
      <c r="H92" s="305"/>
      <c r="I92" s="305"/>
      <c r="J92" s="305"/>
      <c r="K92" s="305"/>
    </row>
    <row r="93" spans="1:11" x14ac:dyDescent="0.2">
      <c r="A93" s="305"/>
      <c r="B93" s="305"/>
      <c r="C93" s="305"/>
      <c r="D93" s="305"/>
      <c r="E93" s="305"/>
      <c r="F93" s="305"/>
      <c r="G93" s="305"/>
      <c r="H93" s="305"/>
      <c r="I93" s="305"/>
      <c r="J93" s="305"/>
      <c r="K93" s="305"/>
    </row>
    <row r="94" spans="1:11" x14ac:dyDescent="0.2">
      <c r="A94" s="305"/>
      <c r="B94" s="305"/>
      <c r="C94" s="305"/>
      <c r="D94" s="305"/>
      <c r="E94" s="305"/>
      <c r="F94" s="305"/>
      <c r="G94" s="305"/>
      <c r="H94" s="305"/>
      <c r="I94" s="305"/>
      <c r="J94" s="305"/>
      <c r="K94" s="305"/>
    </row>
    <row r="95" spans="1:11" x14ac:dyDescent="0.2">
      <c r="A95" s="305"/>
      <c r="B95" s="305"/>
      <c r="C95" s="305"/>
      <c r="D95" s="305"/>
      <c r="E95" s="305"/>
      <c r="F95" s="305"/>
      <c r="G95" s="305"/>
      <c r="H95" s="305"/>
      <c r="I95" s="305"/>
      <c r="J95" s="305"/>
      <c r="K95" s="305"/>
    </row>
    <row r="96" spans="1:11" x14ac:dyDescent="0.2">
      <c r="A96" s="305"/>
      <c r="B96" s="305"/>
      <c r="C96" s="305"/>
      <c r="D96" s="305"/>
      <c r="E96" s="305"/>
      <c r="F96" s="305"/>
      <c r="G96" s="305"/>
      <c r="H96" s="305"/>
      <c r="I96" s="305"/>
      <c r="J96" s="305"/>
      <c r="K96" s="305"/>
    </row>
    <row r="97" spans="1:11" x14ac:dyDescent="0.2">
      <c r="A97" s="305"/>
      <c r="B97" s="305"/>
      <c r="C97" s="305"/>
      <c r="D97" s="305"/>
      <c r="E97" s="305"/>
      <c r="F97" s="305"/>
      <c r="G97" s="305"/>
      <c r="H97" s="305"/>
      <c r="I97" s="305"/>
      <c r="J97" s="305"/>
      <c r="K97" s="305"/>
    </row>
    <row r="98" spans="1:11" x14ac:dyDescent="0.2">
      <c r="A98" s="305"/>
      <c r="B98" s="305"/>
      <c r="C98" s="305"/>
      <c r="D98" s="305"/>
      <c r="E98" s="305"/>
      <c r="F98" s="305"/>
      <c r="G98" s="305"/>
      <c r="H98" s="305"/>
      <c r="I98" s="305"/>
      <c r="J98" s="305"/>
      <c r="K98" s="305"/>
    </row>
    <row r="99" spans="1:11" x14ac:dyDescent="0.2">
      <c r="A99" s="305"/>
      <c r="B99" s="305"/>
      <c r="C99" s="305"/>
      <c r="D99" s="305"/>
      <c r="E99" s="305"/>
      <c r="F99" s="305"/>
      <c r="G99" s="305"/>
      <c r="H99" s="305"/>
      <c r="I99" s="305"/>
      <c r="J99" s="305"/>
      <c r="K99" s="305"/>
    </row>
    <row r="100" spans="1:11" x14ac:dyDescent="0.2">
      <c r="A100" s="305"/>
      <c r="B100" s="305"/>
      <c r="C100" s="305"/>
      <c r="D100" s="305"/>
      <c r="E100" s="305"/>
      <c r="F100" s="305"/>
      <c r="G100" s="305"/>
      <c r="H100" s="305"/>
      <c r="I100" s="305"/>
      <c r="J100" s="305"/>
      <c r="K100" s="305"/>
    </row>
    <row r="101" spans="1:11" x14ac:dyDescent="0.2">
      <c r="A101" s="305"/>
      <c r="B101" s="305"/>
      <c r="C101" s="305"/>
      <c r="D101" s="305"/>
      <c r="E101" s="305"/>
      <c r="F101" s="305"/>
      <c r="G101" s="305"/>
      <c r="H101" s="305"/>
      <c r="I101" s="305"/>
      <c r="J101" s="305"/>
      <c r="K101" s="305"/>
    </row>
    <row r="102" spans="1:11" x14ac:dyDescent="0.2">
      <c r="A102" s="305"/>
      <c r="B102" s="305"/>
      <c r="C102" s="305"/>
      <c r="D102" s="305"/>
      <c r="E102" s="305"/>
      <c r="F102" s="305"/>
      <c r="G102" s="305"/>
      <c r="H102" s="305"/>
      <c r="I102" s="305"/>
      <c r="J102" s="305"/>
      <c r="K102" s="305"/>
    </row>
    <row r="103" spans="1:11" x14ac:dyDescent="0.2">
      <c r="A103" s="305"/>
      <c r="B103" s="305"/>
      <c r="C103" s="305"/>
      <c r="D103" s="305"/>
      <c r="E103" s="305"/>
      <c r="F103" s="305"/>
      <c r="G103" s="305"/>
      <c r="H103" s="305"/>
      <c r="I103" s="305"/>
      <c r="J103" s="305"/>
      <c r="K103" s="305"/>
    </row>
    <row r="104" spans="1:11" x14ac:dyDescent="0.2">
      <c r="A104" s="305"/>
      <c r="B104" s="305"/>
      <c r="C104" s="305"/>
      <c r="D104" s="305"/>
      <c r="E104" s="305"/>
      <c r="F104" s="305"/>
      <c r="G104" s="305"/>
      <c r="H104" s="305"/>
      <c r="I104" s="305"/>
      <c r="J104" s="305"/>
      <c r="K104" s="305"/>
    </row>
    <row r="105" spans="1:11" x14ac:dyDescent="0.2">
      <c r="A105" s="305"/>
      <c r="B105" s="305"/>
      <c r="C105" s="305"/>
      <c r="D105" s="305"/>
      <c r="E105" s="305"/>
      <c r="F105" s="305"/>
      <c r="G105" s="305"/>
      <c r="H105" s="305"/>
      <c r="I105" s="305"/>
      <c r="J105" s="305"/>
      <c r="K105" s="305"/>
    </row>
    <row r="106" spans="1:11" x14ac:dyDescent="0.2">
      <c r="A106" s="305"/>
      <c r="B106" s="305"/>
      <c r="C106" s="305"/>
      <c r="D106" s="305"/>
      <c r="E106" s="305"/>
      <c r="F106" s="305"/>
      <c r="G106" s="305"/>
      <c r="H106" s="305"/>
      <c r="I106" s="305"/>
      <c r="J106" s="305"/>
      <c r="K106" s="305"/>
    </row>
    <row r="107" spans="1:11" x14ac:dyDescent="0.2">
      <c r="A107" s="305"/>
      <c r="B107" s="305"/>
      <c r="C107" s="305"/>
      <c r="D107" s="305"/>
      <c r="E107" s="305"/>
      <c r="F107" s="305"/>
      <c r="G107" s="305"/>
      <c r="H107" s="305"/>
      <c r="I107" s="305"/>
      <c r="J107" s="305"/>
      <c r="K107" s="305"/>
    </row>
    <row r="108" spans="1:11" x14ac:dyDescent="0.2">
      <c r="A108" s="305"/>
      <c r="B108" s="305"/>
      <c r="C108" s="305"/>
      <c r="D108" s="305"/>
      <c r="E108" s="305"/>
      <c r="F108" s="305"/>
      <c r="G108" s="305"/>
      <c r="H108" s="305"/>
      <c r="I108" s="305"/>
      <c r="J108" s="305"/>
      <c r="K108" s="305"/>
    </row>
    <row r="109" spans="1:11" x14ac:dyDescent="0.2">
      <c r="A109" s="305"/>
      <c r="B109" s="305"/>
      <c r="C109" s="305"/>
      <c r="D109" s="305"/>
      <c r="E109" s="305"/>
      <c r="F109" s="305"/>
      <c r="G109" s="305"/>
      <c r="H109" s="305"/>
      <c r="I109" s="305"/>
      <c r="J109" s="305"/>
      <c r="K109" s="305"/>
    </row>
    <row r="110" spans="1:11" x14ac:dyDescent="0.2">
      <c r="A110" s="305"/>
      <c r="B110" s="305"/>
      <c r="C110" s="305"/>
      <c r="D110" s="305"/>
      <c r="E110" s="305"/>
      <c r="F110" s="305"/>
      <c r="G110" s="305"/>
      <c r="H110" s="305"/>
      <c r="I110" s="305"/>
      <c r="J110" s="305"/>
      <c r="K110" s="305"/>
    </row>
    <row r="111" spans="1:11" x14ac:dyDescent="0.2">
      <c r="A111" s="305"/>
      <c r="B111" s="305"/>
      <c r="C111" s="305"/>
      <c r="D111" s="305"/>
      <c r="E111" s="305"/>
      <c r="F111" s="305"/>
      <c r="G111" s="305"/>
      <c r="H111" s="305"/>
      <c r="I111" s="305"/>
      <c r="J111" s="305"/>
      <c r="K111" s="305"/>
    </row>
    <row r="112" spans="1:11" x14ac:dyDescent="0.2">
      <c r="A112" s="305"/>
      <c r="B112" s="305"/>
      <c r="C112" s="305"/>
      <c r="D112" s="305"/>
      <c r="E112" s="305"/>
      <c r="F112" s="305"/>
      <c r="G112" s="305"/>
      <c r="H112" s="305"/>
      <c r="I112" s="305"/>
      <c r="J112" s="305"/>
      <c r="K112" s="305"/>
    </row>
    <row r="113" spans="1:11" x14ac:dyDescent="0.2">
      <c r="A113" s="305"/>
      <c r="B113" s="305"/>
      <c r="C113" s="305"/>
      <c r="D113" s="305"/>
      <c r="E113" s="305"/>
      <c r="F113" s="305"/>
      <c r="G113" s="305"/>
      <c r="H113" s="305"/>
      <c r="I113" s="305"/>
      <c r="J113" s="305"/>
      <c r="K113" s="305"/>
    </row>
    <row r="114" spans="1:11" x14ac:dyDescent="0.2">
      <c r="A114" s="305"/>
      <c r="B114" s="305"/>
      <c r="C114" s="305"/>
      <c r="D114" s="305"/>
      <c r="E114" s="305"/>
      <c r="F114" s="305"/>
      <c r="G114" s="305"/>
      <c r="H114" s="305"/>
      <c r="I114" s="305"/>
      <c r="J114" s="305"/>
      <c r="K114" s="305"/>
    </row>
    <row r="115" spans="1:11" x14ac:dyDescent="0.2">
      <c r="A115" s="305"/>
      <c r="B115" s="305"/>
      <c r="C115" s="305"/>
      <c r="D115" s="305"/>
      <c r="E115" s="305"/>
      <c r="F115" s="305"/>
      <c r="G115" s="305"/>
      <c r="H115" s="305"/>
      <c r="I115" s="305"/>
      <c r="J115" s="305"/>
      <c r="K115" s="305"/>
    </row>
    <row r="116" spans="1:11" x14ac:dyDescent="0.2">
      <c r="A116" s="305"/>
      <c r="B116" s="305"/>
      <c r="C116" s="305"/>
      <c r="D116" s="305"/>
      <c r="E116" s="305"/>
      <c r="F116" s="305"/>
      <c r="G116" s="305"/>
      <c r="H116" s="305"/>
      <c r="I116" s="305"/>
      <c r="J116" s="305"/>
      <c r="K116" s="305"/>
    </row>
    <row r="117" spans="1:11" x14ac:dyDescent="0.2">
      <c r="A117" s="305"/>
      <c r="B117" s="305"/>
      <c r="C117" s="305"/>
      <c r="D117" s="305"/>
      <c r="E117" s="305"/>
      <c r="F117" s="305"/>
      <c r="G117" s="305"/>
      <c r="H117" s="305"/>
      <c r="I117" s="305"/>
      <c r="J117" s="305"/>
      <c r="K117" s="305"/>
    </row>
    <row r="118" spans="1:11" x14ac:dyDescent="0.2">
      <c r="A118" s="305"/>
      <c r="B118" s="305"/>
      <c r="C118" s="305"/>
      <c r="D118" s="305"/>
      <c r="E118" s="305"/>
      <c r="F118" s="305"/>
      <c r="G118" s="305"/>
      <c r="H118" s="305"/>
      <c r="I118" s="305"/>
      <c r="J118" s="305"/>
      <c r="K118" s="305"/>
    </row>
    <row r="119" spans="1:11" x14ac:dyDescent="0.2">
      <c r="A119" s="305"/>
      <c r="B119" s="305"/>
      <c r="C119" s="305"/>
      <c r="D119" s="305"/>
      <c r="E119" s="305"/>
      <c r="F119" s="305"/>
      <c r="G119" s="305"/>
      <c r="H119" s="305"/>
      <c r="I119" s="305"/>
      <c r="J119" s="305"/>
      <c r="K119" s="305"/>
    </row>
    <row r="120" spans="1:11" x14ac:dyDescent="0.2">
      <c r="A120" s="305"/>
      <c r="B120" s="305"/>
      <c r="C120" s="305"/>
      <c r="D120" s="305"/>
      <c r="E120" s="305"/>
      <c r="F120" s="305"/>
      <c r="G120" s="305"/>
      <c r="H120" s="305"/>
      <c r="I120" s="305"/>
      <c r="J120" s="305"/>
      <c r="K120" s="305"/>
    </row>
  </sheetData>
  <pageMargins left="0" right="0" top="0.5" bottom="0.5" header="0.5" footer="0.5"/>
  <pageSetup scale="85"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102"/>
  <sheetViews>
    <sheetView zoomScaleNormal="100" workbookViewId="0">
      <selection activeCell="I35" sqref="I35"/>
    </sheetView>
  </sheetViews>
  <sheetFormatPr defaultRowHeight="12.75" x14ac:dyDescent="0.2"/>
  <cols>
    <col min="1" max="1" width="9.140625" style="186"/>
    <col min="2" max="2" width="2.5703125" style="186" customWidth="1"/>
    <col min="3" max="12" width="12.28515625" style="186" customWidth="1"/>
    <col min="13" max="13" width="2.28515625" style="186" customWidth="1"/>
    <col min="14" max="14" width="14.85546875" style="186" bestFit="1" customWidth="1"/>
    <col min="15" max="16384" width="9.140625" style="186"/>
  </cols>
  <sheetData>
    <row r="1" spans="1:16" x14ac:dyDescent="0.2">
      <c r="A1" s="320" t="str">
        <f>"Residential Tonnages by Commodity:  "&amp;TEXT(A7,"mmmm")&amp;" - "&amp;TEXT(A18,"mmmm")</f>
        <v>Residential Tonnages by Commodity:  May - April</v>
      </c>
      <c r="B1" s="319"/>
    </row>
    <row r="2" spans="1:16" x14ac:dyDescent="0.2">
      <c r="A2" s="318" t="str">
        <f>'Value 2018'!A2</f>
        <v>Kent-Meridian Disposal</v>
      </c>
      <c r="B2" s="318"/>
    </row>
    <row r="3" spans="1:16" x14ac:dyDescent="0.2">
      <c r="A3" s="318"/>
      <c r="B3" s="318"/>
    </row>
    <row r="4" spans="1:16" x14ac:dyDescent="0.2">
      <c r="A4" s="319"/>
      <c r="B4" s="326"/>
      <c r="C4" s="316" t="s">
        <v>21</v>
      </c>
      <c r="D4" s="316" t="s">
        <v>22</v>
      </c>
      <c r="E4" s="316" t="s">
        <v>55</v>
      </c>
      <c r="F4" s="316" t="s">
        <v>23</v>
      </c>
      <c r="G4" s="316" t="s">
        <v>24</v>
      </c>
      <c r="H4" s="316" t="s">
        <v>25</v>
      </c>
      <c r="I4" s="316" t="s">
        <v>26</v>
      </c>
      <c r="J4" s="316" t="s">
        <v>27</v>
      </c>
      <c r="K4" s="316" t="s">
        <v>28</v>
      </c>
      <c r="L4" s="316" t="s">
        <v>29</v>
      </c>
      <c r="M4" s="316"/>
      <c r="N4" s="316" t="s">
        <v>30</v>
      </c>
    </row>
    <row r="5" spans="1:16" s="322" customFormat="1" x14ac:dyDescent="0.2">
      <c r="A5" s="325"/>
      <c r="B5" s="325"/>
      <c r="C5" s="323">
        <v>55</v>
      </c>
      <c r="D5" s="324">
        <v>57</v>
      </c>
      <c r="E5" s="324">
        <v>58</v>
      </c>
      <c r="F5" s="323">
        <v>53</v>
      </c>
      <c r="G5" s="323">
        <v>50</v>
      </c>
      <c r="H5" s="323">
        <v>60</v>
      </c>
      <c r="I5" s="323">
        <v>54</v>
      </c>
      <c r="J5" s="323">
        <v>54</v>
      </c>
      <c r="K5" s="323">
        <v>51</v>
      </c>
      <c r="L5" s="323">
        <v>59</v>
      </c>
    </row>
    <row r="6" spans="1:16" x14ac:dyDescent="0.2">
      <c r="A6" s="313"/>
      <c r="B6" s="305"/>
      <c r="C6" s="306"/>
      <c r="D6" s="306"/>
      <c r="E6" s="306"/>
      <c r="F6" s="306"/>
      <c r="G6" s="306"/>
      <c r="H6" s="306"/>
      <c r="I6" s="306"/>
      <c r="J6" s="306"/>
      <c r="L6" s="305"/>
      <c r="M6" s="305"/>
      <c r="N6" s="306" t="s">
        <v>31</v>
      </c>
    </row>
    <row r="7" spans="1:16" x14ac:dyDescent="0.2">
      <c r="A7" s="313">
        <f>'Single Family 2018'!C6</f>
        <v>42856</v>
      </c>
      <c r="B7" s="305"/>
      <c r="C7" s="307">
        <f>HLOOKUP($A7,'Single Family 2018'!$C$6:$N$79,C$5,FALSE)</f>
        <v>4.2919499999999999</v>
      </c>
      <c r="D7" s="311">
        <f>HLOOKUP($A7,'Single Family 2018'!$C$6:$N$79,D$5,FALSE)</f>
        <v>101.17556800000001</v>
      </c>
      <c r="E7" s="311">
        <f>HLOOKUP($A7,'Single Family 2018'!$C$6:$N$79,E$5,FALSE)</f>
        <v>0</v>
      </c>
      <c r="F7" s="307">
        <f>HLOOKUP($A7,'Single Family 2018'!$C$6:$N$79,F$5,FALSE)</f>
        <v>9.4422899999999998</v>
      </c>
      <c r="G7" s="307">
        <f>HLOOKUP($A7,'Single Family 2018'!$C$6:$N$79,G$5,FALSE)</f>
        <v>111.5907</v>
      </c>
      <c r="H7" s="307">
        <f>HLOOKUP($A7,'Single Family 2018'!$C$6:$N$79,H$5,FALSE)</f>
        <v>184.15326799999991</v>
      </c>
      <c r="I7" s="307">
        <f>HLOOKUP($A7,'Single Family 2018'!$C$6:$N$79,I$5,FALSE)/2</f>
        <v>12.847237</v>
      </c>
      <c r="J7" s="307">
        <f>HLOOKUP($A7,'Single Family 2018'!$C$6:$N$79,J$5,FALSE)/2</f>
        <v>12.847237</v>
      </c>
      <c r="K7" s="307">
        <f>HLOOKUP($A7,'Single Family 2018'!$C$6:$N$79,K$5,FALSE)</f>
        <v>101.976732</v>
      </c>
      <c r="L7" s="311">
        <f>HLOOKUP($A7,'Single Family 2018'!$C$6:$N$79,L$5,FALSE)</f>
        <v>33.935018000000078</v>
      </c>
      <c r="M7" s="70"/>
      <c r="N7" s="70">
        <f t="shared" ref="N7:N18" si="0">SUM(C7:L7)</f>
        <v>572.2600000000001</v>
      </c>
      <c r="P7" s="321"/>
    </row>
    <row r="8" spans="1:16" x14ac:dyDescent="0.2">
      <c r="A8" s="313">
        <f t="shared" ref="A8:A18" si="1">EOMONTH(A7,1)</f>
        <v>42916</v>
      </c>
      <c r="B8" s="305"/>
      <c r="C8" s="307">
        <f>HLOOKUP($A8,'Single Family 2018'!$C$6:$N$79,C$5,FALSE)</f>
        <v>4.2533250000000002</v>
      </c>
      <c r="D8" s="311">
        <f>HLOOKUP($A8,'Single Family 2018'!$C$6:$N$79,D$5,FALSE)</f>
        <v>100.26504800000001</v>
      </c>
      <c r="E8" s="311">
        <f>HLOOKUP($A8,'Single Family 2018'!$C$6:$N$79,E$5,FALSE)</f>
        <v>0</v>
      </c>
      <c r="F8" s="307">
        <f>HLOOKUP($A8,'Single Family 2018'!$C$6:$N$79,F$5,FALSE)</f>
        <v>9.3573149999999998</v>
      </c>
      <c r="G8" s="307">
        <f>HLOOKUP($A8,'Single Family 2018'!$C$6:$N$79,G$5,FALSE)</f>
        <v>110.58645000000001</v>
      </c>
      <c r="H8" s="307">
        <f>HLOOKUP($A8,'Single Family 2018'!$C$6:$N$79,H$5,FALSE)</f>
        <v>182.49599799999987</v>
      </c>
      <c r="I8" s="307">
        <f>HLOOKUP($A8,'Single Family 2018'!$C$6:$N$79,I$5,FALSE)/2</f>
        <v>12.731619500000001</v>
      </c>
      <c r="J8" s="307">
        <f>HLOOKUP($A8,'Single Family 2018'!$C$6:$N$79,J$5,FALSE)/2</f>
        <v>12.731619500000001</v>
      </c>
      <c r="K8" s="307">
        <f>HLOOKUP($A8,'Single Family 2018'!$C$6:$N$79,K$5,FALSE)</f>
        <v>101.05900200000001</v>
      </c>
      <c r="L8" s="311">
        <f>HLOOKUP($A8,'Single Family 2018'!$C$6:$N$79,L$5,FALSE)</f>
        <v>33.629623000000073</v>
      </c>
      <c r="M8" s="70"/>
      <c r="N8" s="70">
        <f t="shared" si="0"/>
        <v>567.11</v>
      </c>
      <c r="P8" s="321"/>
    </row>
    <row r="9" spans="1:16" x14ac:dyDescent="0.2">
      <c r="A9" s="313">
        <f t="shared" si="1"/>
        <v>42947</v>
      </c>
      <c r="B9" s="305"/>
      <c r="C9" s="307">
        <f>HLOOKUP($A9,'Single Family 2018'!$C$6:$N$79,C$5,FALSE)</f>
        <v>4.1120999999999999</v>
      </c>
      <c r="D9" s="311">
        <f>HLOOKUP($A9,'Single Family 2018'!$C$6:$N$79,D$5,FALSE)</f>
        <v>96.935904000000008</v>
      </c>
      <c r="E9" s="311">
        <f>HLOOKUP($A9,'Single Family 2018'!$C$6:$N$79,E$5,FALSE)</f>
        <v>0</v>
      </c>
      <c r="F9" s="307">
        <f>HLOOKUP($A9,'Single Family 2018'!$C$6:$N$79,F$5,FALSE)</f>
        <v>9.0466200000000008</v>
      </c>
      <c r="G9" s="307">
        <f>HLOOKUP($A9,'Single Family 2018'!$C$6:$N$79,G$5,FALSE)</f>
        <v>106.91459999999999</v>
      </c>
      <c r="H9" s="307">
        <f>HLOOKUP($A9,'Single Family 2018'!$C$6:$N$79,H$5,FALSE)</f>
        <v>176.4365039999999</v>
      </c>
      <c r="I9" s="307">
        <f>HLOOKUP($A9,'Single Family 2018'!$C$6:$N$79,I$5,FALSE)/2</f>
        <v>12.308885999999999</v>
      </c>
      <c r="J9" s="307">
        <f>HLOOKUP($A9,'Single Family 2018'!$C$6:$N$79,J$5,FALSE)/2</f>
        <v>12.308885999999999</v>
      </c>
      <c r="K9" s="307">
        <f>HLOOKUP($A9,'Single Family 2018'!$C$6:$N$79,K$5,FALSE)</f>
        <v>97.703495999999987</v>
      </c>
      <c r="L9" s="311">
        <f>HLOOKUP($A9,'Single Family 2018'!$C$6:$N$79,L$5,FALSE)</f>
        <v>32.513004000000073</v>
      </c>
      <c r="M9" s="70"/>
      <c r="N9" s="70">
        <f t="shared" si="0"/>
        <v>548.27999999999986</v>
      </c>
      <c r="P9" s="321"/>
    </row>
    <row r="10" spans="1:16" x14ac:dyDescent="0.2">
      <c r="A10" s="313">
        <f t="shared" si="1"/>
        <v>42978</v>
      </c>
      <c r="B10" s="305"/>
      <c r="C10" s="307">
        <f>HLOOKUP($A10,'Single Family 2018'!$C$6:$N$79,C$5,FALSE)</f>
        <v>4.3259999999999996</v>
      </c>
      <c r="D10" s="311">
        <f>HLOOKUP($A10,'Single Family 2018'!$C$6:$N$79,D$5,FALSE)</f>
        <v>101.97824</v>
      </c>
      <c r="E10" s="311">
        <f>HLOOKUP($A10,'Single Family 2018'!$C$6:$N$79,E$5,FALSE)</f>
        <v>0</v>
      </c>
      <c r="F10" s="307">
        <f>HLOOKUP($A10,'Single Family 2018'!$C$6:$N$79,F$5,FALSE)</f>
        <v>9.517199999999999</v>
      </c>
      <c r="G10" s="307">
        <f>HLOOKUP($A10,'Single Family 2018'!$C$6:$N$79,G$5,FALSE)</f>
        <v>112.476</v>
      </c>
      <c r="H10" s="307">
        <f>HLOOKUP($A10,'Single Family 2018'!$C$6:$N$79,H$5,FALSE)</f>
        <v>185.61423999999988</v>
      </c>
      <c r="I10" s="307">
        <f>HLOOKUP($A10,'Single Family 2018'!$C$6:$N$79,I$5,FALSE)/2</f>
        <v>12.949159999999999</v>
      </c>
      <c r="J10" s="307">
        <f>HLOOKUP($A10,'Single Family 2018'!$C$6:$N$79,J$5,FALSE)/2</f>
        <v>12.949159999999999</v>
      </c>
      <c r="K10" s="307">
        <f>HLOOKUP($A10,'Single Family 2018'!$C$6:$N$79,K$5,FALSE)</f>
        <v>102.78576</v>
      </c>
      <c r="L10" s="311">
        <f>HLOOKUP($A10,'Single Family 2018'!$C$6:$N$79,L$5,FALSE)</f>
        <v>34.20424000000007</v>
      </c>
      <c r="M10" s="70"/>
      <c r="N10" s="70">
        <f t="shared" si="0"/>
        <v>576.79999999999995</v>
      </c>
      <c r="P10" s="321"/>
    </row>
    <row r="11" spans="1:16" x14ac:dyDescent="0.2">
      <c r="A11" s="313">
        <f t="shared" si="1"/>
        <v>43008</v>
      </c>
      <c r="B11" s="305"/>
      <c r="C11" s="307">
        <f>HLOOKUP($A11,'Single Family 2018'!$C$6:$N$79,C$5,FALSE)</f>
        <v>4.2217500000000001</v>
      </c>
      <c r="D11" s="311">
        <f>HLOOKUP($A11,'Single Family 2018'!$C$6:$N$79,D$5,FALSE)</f>
        <v>99.520719999999997</v>
      </c>
      <c r="E11" s="311">
        <f>HLOOKUP($A11,'Single Family 2018'!$C$6:$N$79,E$5,FALSE)</f>
        <v>0</v>
      </c>
      <c r="F11" s="307">
        <f>HLOOKUP($A11,'Single Family 2018'!$C$6:$N$79,F$5,FALSE)</f>
        <v>9.2878500000000006</v>
      </c>
      <c r="G11" s="307">
        <f>HLOOKUP($A11,'Single Family 2018'!$C$6:$N$79,G$5,FALSE)</f>
        <v>109.7655</v>
      </c>
      <c r="H11" s="307">
        <f>HLOOKUP($A11,'Single Family 2018'!$C$6:$N$79,H$5,FALSE)</f>
        <v>181.14121999999992</v>
      </c>
      <c r="I11" s="307">
        <f>HLOOKUP($A11,'Single Family 2018'!$C$6:$N$79,I$5,FALSE)/2</f>
        <v>12.637105</v>
      </c>
      <c r="J11" s="307">
        <f>HLOOKUP($A11,'Single Family 2018'!$C$6:$N$79,J$5,FALSE)/2</f>
        <v>12.637105</v>
      </c>
      <c r="K11" s="307">
        <f>HLOOKUP($A11,'Single Family 2018'!$C$6:$N$79,K$5,FALSE)</f>
        <v>100.30878</v>
      </c>
      <c r="L11" s="311">
        <f>HLOOKUP($A11,'Single Family 2018'!$C$6:$N$79,L$5,FALSE)</f>
        <v>33.379970000000071</v>
      </c>
      <c r="M11" s="70"/>
      <c r="N11" s="70">
        <f t="shared" si="0"/>
        <v>562.9</v>
      </c>
      <c r="P11" s="321"/>
    </row>
    <row r="12" spans="1:16" x14ac:dyDescent="0.2">
      <c r="A12" s="313">
        <f t="shared" si="1"/>
        <v>43039</v>
      </c>
      <c r="B12" s="305"/>
      <c r="C12" s="307">
        <f>HLOOKUP($A12,'Single Family 2018'!$C$6:$N$79,C$5,FALSE)</f>
        <v>3.8951250000000002</v>
      </c>
      <c r="D12" s="311">
        <f>HLOOKUP($A12,'Single Family 2018'!$C$6:$N$79,D$5,FALSE)</f>
        <v>91.821080000000009</v>
      </c>
      <c r="E12" s="311">
        <f>HLOOKUP($A12,'Single Family 2018'!$C$6:$N$79,E$5,FALSE)</f>
        <v>0</v>
      </c>
      <c r="F12" s="307">
        <f>HLOOKUP($A12,'Single Family 2018'!$C$6:$N$79,F$5,FALSE)</f>
        <v>8.5692750000000011</v>
      </c>
      <c r="G12" s="307">
        <f>HLOOKUP($A12,'Single Family 2018'!$C$6:$N$79,G$5,FALSE)</f>
        <v>101.27325</v>
      </c>
      <c r="H12" s="307">
        <f>HLOOKUP($A12,'Single Family 2018'!$C$6:$N$79,H$5,FALSE)</f>
        <v>167.12682999999993</v>
      </c>
      <c r="I12" s="307">
        <f>HLOOKUP($A12,'Single Family 2018'!$C$6:$N$79,I$5,FALSE)/2</f>
        <v>11.6594075</v>
      </c>
      <c r="J12" s="307">
        <f>HLOOKUP($A12,'Single Family 2018'!$C$6:$N$79,J$5,FALSE)/2</f>
        <v>11.6594075</v>
      </c>
      <c r="K12" s="307">
        <f>HLOOKUP($A12,'Single Family 2018'!$C$6:$N$79,K$5,FALSE)</f>
        <v>92.548169999999999</v>
      </c>
      <c r="L12" s="311">
        <f>HLOOKUP($A12,'Single Family 2018'!$C$6:$N$79,L$5,FALSE)</f>
        <v>30.79745500000007</v>
      </c>
      <c r="M12" s="70"/>
      <c r="N12" s="70">
        <f t="shared" si="0"/>
        <v>519.34999999999991</v>
      </c>
      <c r="P12" s="321"/>
    </row>
    <row r="13" spans="1:16" x14ac:dyDescent="0.2">
      <c r="A13" s="313">
        <f t="shared" si="1"/>
        <v>43069</v>
      </c>
      <c r="B13" s="305"/>
      <c r="C13" s="307">
        <f>HLOOKUP($A13,'Single Family 2018'!$C$6:$N$79,C$5,FALSE)</f>
        <v>4.5300750000000001</v>
      </c>
      <c r="D13" s="311">
        <f>HLOOKUP($A13,'Single Family 2018'!$C$6:$N$79,D$5,FALSE)</f>
        <v>106.78896800000001</v>
      </c>
      <c r="E13" s="311">
        <f>HLOOKUP($A13,'Single Family 2018'!$C$6:$N$79,E$5,FALSE)</f>
        <v>0</v>
      </c>
      <c r="F13" s="307">
        <f>HLOOKUP($A13,'Single Family 2018'!$C$6:$N$79,F$5,FALSE)</f>
        <v>9.9661650000000002</v>
      </c>
      <c r="G13" s="307">
        <f>HLOOKUP($A13,'Single Family 2018'!$C$6:$N$79,G$5,FALSE)</f>
        <v>117.78195000000001</v>
      </c>
      <c r="H13" s="307">
        <f>HLOOKUP($A13,'Single Family 2018'!$C$6:$N$79,H$5,FALSE)</f>
        <v>194.37041799999986</v>
      </c>
      <c r="I13" s="307">
        <f>HLOOKUP($A13,'Single Family 2018'!$C$6:$N$79,I$5,FALSE)/2</f>
        <v>13.560024500000001</v>
      </c>
      <c r="J13" s="307">
        <f>HLOOKUP($A13,'Single Family 2018'!$C$6:$N$79,J$5,FALSE)/2</f>
        <v>13.560024500000001</v>
      </c>
      <c r="K13" s="307">
        <f>HLOOKUP($A13,'Single Family 2018'!$C$6:$N$79,K$5,FALSE)</f>
        <v>107.63458199999999</v>
      </c>
      <c r="L13" s="311">
        <f>HLOOKUP($A13,'Single Family 2018'!$C$6:$N$79,L$5,FALSE)</f>
        <v>35.81779300000008</v>
      </c>
      <c r="M13" s="70"/>
      <c r="N13" s="70">
        <f t="shared" si="0"/>
        <v>604.00999999999988</v>
      </c>
      <c r="P13" s="321"/>
    </row>
    <row r="14" spans="1:16" x14ac:dyDescent="0.2">
      <c r="A14" s="313">
        <f t="shared" si="1"/>
        <v>43100</v>
      </c>
      <c r="B14" s="305"/>
      <c r="C14" s="307">
        <f>HLOOKUP($A14,'Single Family 2018'!$C$6:$N$79,C$5,FALSE)</f>
        <v>4.4765999999999995</v>
      </c>
      <c r="D14" s="311">
        <f>HLOOKUP($A14,'Single Family 2018'!$C$6:$N$79,D$5,FALSE)</f>
        <v>105.528384</v>
      </c>
      <c r="E14" s="311">
        <f>HLOOKUP($A14,'Single Family 2018'!$C$6:$N$79,E$5,FALSE)</f>
        <v>0</v>
      </c>
      <c r="F14" s="307">
        <f>HLOOKUP($A14,'Single Family 2018'!$C$6:$N$79,F$5,FALSE)</f>
        <v>9.8485200000000006</v>
      </c>
      <c r="G14" s="307">
        <f>HLOOKUP($A14,'Single Family 2018'!$C$6:$N$79,G$5,FALSE)</f>
        <v>116.3916</v>
      </c>
      <c r="H14" s="307">
        <f>HLOOKUP($A14,'Single Family 2018'!$C$6:$N$79,H$5,FALSE)</f>
        <v>192.07598399999989</v>
      </c>
      <c r="I14" s="307">
        <f>HLOOKUP($A14,'Single Family 2018'!$C$6:$N$79,I$5,FALSE)/2</f>
        <v>13.399956000000001</v>
      </c>
      <c r="J14" s="307">
        <f>HLOOKUP($A14,'Single Family 2018'!$C$6:$N$79,J$5,FALSE)/2</f>
        <v>13.399956000000001</v>
      </c>
      <c r="K14" s="307">
        <f>HLOOKUP($A14,'Single Family 2018'!$C$6:$N$79,K$5,FALSE)</f>
        <v>106.36401599999999</v>
      </c>
      <c r="L14" s="311">
        <f>HLOOKUP($A14,'Single Family 2018'!$C$6:$N$79,L$5,FALSE)</f>
        <v>35.394984000000079</v>
      </c>
      <c r="M14" s="70"/>
      <c r="N14" s="70">
        <f t="shared" si="0"/>
        <v>596.87999999999988</v>
      </c>
      <c r="P14" s="321"/>
    </row>
    <row r="15" spans="1:16" x14ac:dyDescent="0.2">
      <c r="A15" s="313">
        <f t="shared" si="1"/>
        <v>43131</v>
      </c>
      <c r="B15" s="305"/>
      <c r="C15" s="307">
        <f>HLOOKUP($A15,'Single Family 2018'!$C$6:$N$79,C$5,FALSE)</f>
        <v>5.8563000000000001</v>
      </c>
      <c r="D15" s="311">
        <f>HLOOKUP($A15,'Single Family 2018'!$C$6:$N$79,D$5,FALSE)</f>
        <v>138.05251200000001</v>
      </c>
      <c r="E15" s="311">
        <f>HLOOKUP($A15,'Single Family 2018'!$C$6:$N$79,E$5,FALSE)</f>
        <v>0</v>
      </c>
      <c r="F15" s="307">
        <f>HLOOKUP($A15,'Single Family 2018'!$C$6:$N$79,F$5,FALSE)</f>
        <v>12.88386</v>
      </c>
      <c r="G15" s="307">
        <f>HLOOKUP($A15,'Single Family 2018'!$C$6:$N$79,G$5,FALSE)</f>
        <v>152.2638</v>
      </c>
      <c r="H15" s="307">
        <f>HLOOKUP($A15,'Single Family 2018'!$C$6:$N$79,H$5,FALSE)</f>
        <v>251.2743119999999</v>
      </c>
      <c r="I15" s="307">
        <f>HLOOKUP($A15,'Single Family 2018'!$C$6:$N$79,I$5,FALSE)/2</f>
        <v>17.529858000000001</v>
      </c>
      <c r="J15" s="307">
        <f>HLOOKUP($A15,'Single Family 2018'!$C$6:$N$79,J$5,FALSE)/2</f>
        <v>17.529858000000001</v>
      </c>
      <c r="K15" s="307">
        <f>HLOOKUP($A15,'Single Family 2018'!$C$6:$N$79,K$5,FALSE)</f>
        <v>139.14568800000001</v>
      </c>
      <c r="L15" s="311">
        <f>HLOOKUP($A15,'Single Family 2018'!$C$6:$N$79,L$5,FALSE)</f>
        <v>46.303812000000107</v>
      </c>
      <c r="M15" s="70"/>
      <c r="N15" s="70">
        <f t="shared" si="0"/>
        <v>780.83999999999992</v>
      </c>
      <c r="P15" s="321"/>
    </row>
    <row r="16" spans="1:16" x14ac:dyDescent="0.2">
      <c r="A16" s="313">
        <f t="shared" si="1"/>
        <v>43159</v>
      </c>
      <c r="B16" s="305"/>
      <c r="C16" s="307">
        <f>HLOOKUP($A16,'Single Family 2018'!$C$6:$N$79,C$5,FALSE)</f>
        <v>3.9866249999999996</v>
      </c>
      <c r="D16" s="311">
        <f>HLOOKUP($A16,'Single Family 2018'!$C$6:$N$79,D$5,FALSE)</f>
        <v>93.978039999999993</v>
      </c>
      <c r="E16" s="311">
        <f>HLOOKUP($A16,'Single Family 2018'!$C$6:$N$79,E$5,FALSE)</f>
        <v>0</v>
      </c>
      <c r="F16" s="307">
        <f>HLOOKUP($A16,'Single Family 2018'!$C$6:$N$79,F$5,FALSE)</f>
        <v>8.7705749999999991</v>
      </c>
      <c r="G16" s="307">
        <f>HLOOKUP($A16,'Single Family 2018'!$C$6:$N$79,G$5,FALSE)</f>
        <v>103.65225</v>
      </c>
      <c r="H16" s="307">
        <f>HLOOKUP($A16,'Single Family 2018'!$C$6:$N$79,H$5,FALSE)</f>
        <v>171.0527899999999</v>
      </c>
      <c r="I16" s="307">
        <f>HLOOKUP($A16,'Single Family 2018'!$C$6:$N$79,I$5,FALSE)/2</f>
        <v>11.9332975</v>
      </c>
      <c r="J16" s="307">
        <f>HLOOKUP($A16,'Single Family 2018'!$C$6:$N$79,J$5,FALSE)/2</f>
        <v>11.9332975</v>
      </c>
      <c r="K16" s="307">
        <f>HLOOKUP($A16,'Single Family 2018'!$C$6:$N$79,K$5,FALSE)</f>
        <v>94.72220999999999</v>
      </c>
      <c r="L16" s="311">
        <f>HLOOKUP($A16,'Single Family 2018'!$C$6:$N$79,L$5,FALSE)</f>
        <v>31.520915000000066</v>
      </c>
      <c r="M16" s="70"/>
      <c r="N16" s="70">
        <f t="shared" si="0"/>
        <v>531.54999999999995</v>
      </c>
      <c r="P16" s="321"/>
    </row>
    <row r="17" spans="1:16" x14ac:dyDescent="0.2">
      <c r="A17" s="313">
        <f t="shared" si="1"/>
        <v>43190</v>
      </c>
      <c r="B17" s="305"/>
      <c r="C17" s="307">
        <f>HLOOKUP($A17,'Single Family 2018'!$C$6:$N$79,C$5,FALSE)</f>
        <v>4.6144499999999997</v>
      </c>
      <c r="D17" s="311">
        <f>HLOOKUP($A17,'Single Family 2018'!$C$6:$N$79,D$5,FALSE)</f>
        <v>108.777968</v>
      </c>
      <c r="E17" s="311">
        <f>HLOOKUP($A17,'Single Family 2018'!$C$6:$N$79,E$5,FALSE)</f>
        <v>0</v>
      </c>
      <c r="F17" s="307">
        <f>HLOOKUP($A17,'Single Family 2018'!$C$6:$N$79,F$5,FALSE)</f>
        <v>10.15179</v>
      </c>
      <c r="G17" s="307">
        <f>HLOOKUP($A17,'Single Family 2018'!$C$6:$N$79,G$5,FALSE)</f>
        <v>119.9757</v>
      </c>
      <c r="H17" s="307">
        <f>HLOOKUP($A17,'Single Family 2018'!$C$6:$N$79,H$5,FALSE)</f>
        <v>197.99066799999991</v>
      </c>
      <c r="I17" s="307">
        <f>HLOOKUP($A17,'Single Family 2018'!$C$6:$N$79,I$5,FALSE)/2</f>
        <v>13.812587000000001</v>
      </c>
      <c r="J17" s="307">
        <f>HLOOKUP($A17,'Single Family 2018'!$C$6:$N$79,J$5,FALSE)/2</f>
        <v>13.812587000000001</v>
      </c>
      <c r="K17" s="307">
        <f>HLOOKUP($A17,'Single Family 2018'!$C$6:$N$79,K$5,FALSE)</f>
        <v>109.639332</v>
      </c>
      <c r="L17" s="311">
        <f>HLOOKUP($A17,'Single Family 2018'!$C$6:$N$79,L$5,FALSE)</f>
        <v>36.484918000000079</v>
      </c>
      <c r="M17" s="70"/>
      <c r="N17" s="70">
        <f t="shared" si="0"/>
        <v>615.26</v>
      </c>
      <c r="P17" s="321"/>
    </row>
    <row r="18" spans="1:16" x14ac:dyDescent="0.2">
      <c r="A18" s="313">
        <f t="shared" si="1"/>
        <v>43220</v>
      </c>
      <c r="B18" s="305"/>
      <c r="C18" s="307">
        <f>HLOOKUP($A18,'Single Family 2018'!$C$6:$N$79,C$5,FALSE)</f>
        <v>4.4817749999999998</v>
      </c>
      <c r="D18" s="311">
        <f>HLOOKUP($A18,'Single Family 2018'!$C$6:$N$79,D$5,FALSE)</f>
        <v>105.65037600000002</v>
      </c>
      <c r="E18" s="311">
        <f>HLOOKUP($A18,'Single Family 2018'!$C$6:$N$79,E$5,FALSE)</f>
        <v>0</v>
      </c>
      <c r="F18" s="307">
        <f>HLOOKUP($A18,'Single Family 2018'!$C$6:$N$79,F$5,FALSE)</f>
        <v>9.8599050000000013</v>
      </c>
      <c r="G18" s="307">
        <f>HLOOKUP($A18,'Single Family 2018'!$C$6:$N$79,G$5,FALSE)</f>
        <v>0</v>
      </c>
      <c r="H18" s="307">
        <f>HLOOKUP($A18,'Single Family 2018'!$C$6:$N$79,H$5,FALSE)</f>
        <v>308.82417599999997</v>
      </c>
      <c r="I18" s="307">
        <f>HLOOKUP($A18,'Single Family 2018'!$C$6:$N$79,I$5,FALSE)/2</f>
        <v>13.415446500000002</v>
      </c>
      <c r="J18" s="307">
        <f>HLOOKUP($A18,'Single Family 2018'!$C$6:$N$79,J$5,FALSE)/2</f>
        <v>13.415446500000002</v>
      </c>
      <c r="K18" s="307">
        <f>HLOOKUP($A18,'Single Family 2018'!$C$6:$N$79,K$5,FALSE)</f>
        <v>106.486974</v>
      </c>
      <c r="L18" s="311">
        <f>HLOOKUP($A18,'Single Family 2018'!$C$6:$N$79,L$5,FALSE)</f>
        <v>35.435901000000079</v>
      </c>
      <c r="M18" s="70"/>
      <c r="N18" s="70">
        <f t="shared" si="0"/>
        <v>597.57000000000016</v>
      </c>
      <c r="P18" s="321"/>
    </row>
    <row r="19" spans="1:16" ht="13.5" customHeight="1" x14ac:dyDescent="0.2">
      <c r="A19" s="313"/>
      <c r="B19" s="305"/>
      <c r="C19" s="70"/>
      <c r="D19" s="70"/>
      <c r="E19" s="70"/>
      <c r="F19" s="70"/>
      <c r="G19" s="70"/>
      <c r="H19" s="70"/>
      <c r="I19" s="70"/>
      <c r="J19" s="70"/>
      <c r="K19" s="70"/>
      <c r="L19" s="70"/>
      <c r="M19" s="70"/>
      <c r="N19" s="70"/>
      <c r="O19" s="186" t="s">
        <v>32</v>
      </c>
    </row>
    <row r="20" spans="1:16" x14ac:dyDescent="0.2">
      <c r="A20" s="310" t="s">
        <v>33</v>
      </c>
      <c r="B20" s="305"/>
      <c r="C20" s="77">
        <f t="shared" ref="C20:L20" si="2">SUM(C7:C19)</f>
        <v>53.046074999999988</v>
      </c>
      <c r="D20" s="77">
        <f t="shared" si="2"/>
        <v>1250.4728080000002</v>
      </c>
      <c r="E20" s="77">
        <f t="shared" si="2"/>
        <v>0</v>
      </c>
      <c r="F20" s="77">
        <f t="shared" si="2"/>
        <v>116.701365</v>
      </c>
      <c r="G20" s="77">
        <f t="shared" si="2"/>
        <v>1262.6718000000001</v>
      </c>
      <c r="H20" s="77">
        <f t="shared" si="2"/>
        <v>2392.5564079999986</v>
      </c>
      <c r="I20" s="77">
        <f t="shared" si="2"/>
        <v>158.78458450000002</v>
      </c>
      <c r="J20" s="77">
        <f t="shared" si="2"/>
        <v>158.78458450000002</v>
      </c>
      <c r="K20" s="77">
        <f t="shared" si="2"/>
        <v>1260.3747419999997</v>
      </c>
      <c r="L20" s="77">
        <f t="shared" si="2"/>
        <v>419.41763300000093</v>
      </c>
      <c r="M20" s="70"/>
      <c r="N20" s="77">
        <f>SUM(N7:N18)</f>
        <v>7072.8099999999995</v>
      </c>
      <c r="O20" s="306">
        <f>N20/15</f>
        <v>471.52066666666661</v>
      </c>
    </row>
    <row r="21" spans="1:16" x14ac:dyDescent="0.2">
      <c r="A21" s="313"/>
      <c r="B21" s="305"/>
      <c r="C21" s="305"/>
      <c r="D21" s="305"/>
      <c r="E21" s="305"/>
      <c r="F21" s="305"/>
      <c r="G21" s="305"/>
      <c r="H21" s="305"/>
      <c r="I21" s="305"/>
      <c r="J21" s="305"/>
      <c r="K21" s="305"/>
      <c r="L21" s="305"/>
      <c r="M21" s="305"/>
      <c r="N21" s="306" t="str">
        <f>IF(N20&lt;&gt;SUM('Single Family 2018'!$C$66:$N$66),"ERROR","")</f>
        <v/>
      </c>
    </row>
    <row r="22" spans="1:16" x14ac:dyDescent="0.2">
      <c r="A22" s="305"/>
      <c r="B22" s="305"/>
      <c r="C22" s="305"/>
      <c r="D22" s="305"/>
      <c r="E22" s="305"/>
      <c r="F22" s="305"/>
      <c r="G22" s="305"/>
      <c r="H22" s="305"/>
      <c r="I22" s="305"/>
      <c r="J22" s="305"/>
      <c r="K22" s="305"/>
      <c r="L22" s="305"/>
      <c r="M22" s="306"/>
    </row>
    <row r="23" spans="1:16" x14ac:dyDescent="0.2">
      <c r="A23" s="305"/>
      <c r="B23" s="305"/>
      <c r="C23" s="305"/>
      <c r="D23" s="305"/>
      <c r="E23" s="305"/>
      <c r="F23" s="305"/>
      <c r="G23" s="305"/>
      <c r="H23" s="305"/>
      <c r="I23" s="305"/>
      <c r="J23" s="305"/>
      <c r="K23" s="305"/>
      <c r="L23" s="305"/>
      <c r="M23" s="306"/>
    </row>
    <row r="24" spans="1:16" x14ac:dyDescent="0.2">
      <c r="A24" s="305"/>
      <c r="B24" s="305"/>
      <c r="C24" s="305"/>
      <c r="D24" s="305"/>
      <c r="E24" s="305"/>
      <c r="F24" s="305"/>
      <c r="G24" s="305"/>
      <c r="H24" s="305"/>
      <c r="I24" s="305"/>
      <c r="J24" s="305"/>
      <c r="K24" s="305"/>
      <c r="L24" s="305"/>
      <c r="M24" s="306"/>
    </row>
    <row r="25" spans="1:16" x14ac:dyDescent="0.2">
      <c r="A25" s="305"/>
      <c r="B25" s="305"/>
      <c r="C25" s="305"/>
      <c r="D25" s="305"/>
      <c r="E25" s="305"/>
      <c r="F25" s="305"/>
      <c r="G25" s="305"/>
      <c r="H25" s="305"/>
      <c r="I25" s="305"/>
      <c r="J25" s="305"/>
      <c r="K25" s="305"/>
      <c r="L25" s="305"/>
      <c r="M25" s="305"/>
    </row>
    <row r="26" spans="1:16" x14ac:dyDescent="0.2">
      <c r="A26" s="305"/>
      <c r="B26" s="305"/>
      <c r="C26" s="305"/>
      <c r="D26" s="305"/>
      <c r="E26" s="305"/>
      <c r="F26" s="305"/>
      <c r="G26" s="305"/>
      <c r="H26" s="305"/>
      <c r="I26" s="305"/>
      <c r="J26" s="305"/>
      <c r="K26" s="305"/>
      <c r="L26" s="305"/>
      <c r="M26" s="305"/>
    </row>
    <row r="27" spans="1:16" x14ac:dyDescent="0.2">
      <c r="A27" s="305"/>
      <c r="B27" s="305"/>
      <c r="C27" s="305"/>
      <c r="D27" s="305"/>
      <c r="E27" s="305"/>
      <c r="F27" s="305"/>
      <c r="G27" s="305"/>
      <c r="H27" s="305"/>
      <c r="I27" s="305"/>
      <c r="J27" s="305"/>
      <c r="K27" s="305"/>
      <c r="L27" s="305"/>
      <c r="M27" s="305"/>
    </row>
    <row r="28" spans="1:16" x14ac:dyDescent="0.2">
      <c r="A28" s="305"/>
      <c r="B28" s="305"/>
      <c r="C28" s="305"/>
      <c r="D28" s="305"/>
      <c r="E28" s="305"/>
      <c r="F28" s="305"/>
      <c r="G28" s="305"/>
      <c r="H28" s="305"/>
      <c r="I28" s="305"/>
      <c r="J28" s="305"/>
      <c r="K28" s="305"/>
      <c r="L28" s="305"/>
      <c r="M28" s="305"/>
    </row>
    <row r="29" spans="1:16" x14ac:dyDescent="0.2">
      <c r="A29" s="305"/>
      <c r="B29" s="305"/>
      <c r="C29" s="305"/>
      <c r="D29" s="305"/>
      <c r="E29" s="305"/>
      <c r="F29" s="305"/>
      <c r="G29" s="305"/>
      <c r="H29" s="305"/>
      <c r="I29" s="305"/>
      <c r="J29" s="305"/>
      <c r="K29" s="305"/>
      <c r="L29" s="305"/>
      <c r="M29" s="305"/>
    </row>
    <row r="30" spans="1:16" x14ac:dyDescent="0.2">
      <c r="A30" s="305"/>
      <c r="B30" s="305"/>
      <c r="C30" s="305"/>
      <c r="D30" s="305"/>
      <c r="E30" s="305"/>
      <c r="F30" s="305"/>
      <c r="G30" s="305"/>
      <c r="H30" s="305"/>
      <c r="I30" s="305"/>
      <c r="J30" s="305"/>
      <c r="K30" s="305"/>
      <c r="L30" s="305"/>
      <c r="M30" s="305"/>
    </row>
    <row r="31" spans="1:16" x14ac:dyDescent="0.2">
      <c r="A31" s="305"/>
      <c r="B31" s="305"/>
      <c r="C31" s="305"/>
      <c r="D31" s="305"/>
      <c r="E31" s="305"/>
      <c r="F31" s="305"/>
      <c r="G31" s="305"/>
      <c r="H31" s="305"/>
      <c r="I31" s="305"/>
      <c r="J31" s="305"/>
      <c r="K31" s="305"/>
      <c r="L31" s="305"/>
      <c r="M31" s="305"/>
    </row>
    <row r="32" spans="1:16" x14ac:dyDescent="0.2">
      <c r="A32" s="305"/>
      <c r="B32" s="305"/>
      <c r="C32" s="305"/>
      <c r="D32" s="305"/>
      <c r="E32" s="305"/>
      <c r="F32" s="305"/>
      <c r="G32" s="305"/>
      <c r="H32" s="305"/>
      <c r="I32" s="305"/>
      <c r="J32" s="305"/>
      <c r="K32" s="305"/>
      <c r="L32" s="305"/>
      <c r="M32" s="305"/>
    </row>
    <row r="33" spans="1:13" x14ac:dyDescent="0.2">
      <c r="A33" s="305"/>
      <c r="B33" s="305"/>
      <c r="C33" s="305"/>
      <c r="D33" s="305"/>
      <c r="E33" s="305"/>
      <c r="F33" s="305"/>
      <c r="G33" s="305"/>
      <c r="H33" s="305"/>
      <c r="I33" s="305"/>
      <c r="J33" s="305"/>
      <c r="K33" s="305"/>
      <c r="L33" s="305"/>
      <c r="M33" s="305"/>
    </row>
    <row r="34" spans="1:13" x14ac:dyDescent="0.2">
      <c r="A34" s="305"/>
      <c r="B34" s="305"/>
      <c r="C34" s="305"/>
      <c r="D34" s="305"/>
      <c r="E34" s="305"/>
      <c r="F34" s="305"/>
      <c r="G34" s="305"/>
      <c r="H34" s="305"/>
      <c r="I34" s="305"/>
      <c r="J34" s="305"/>
      <c r="K34" s="305"/>
      <c r="L34" s="305"/>
      <c r="M34" s="305"/>
    </row>
    <row r="35" spans="1:13" x14ac:dyDescent="0.2">
      <c r="A35" s="305"/>
      <c r="B35" s="305"/>
      <c r="C35" s="305"/>
      <c r="D35" s="305"/>
      <c r="E35" s="305"/>
      <c r="F35" s="305"/>
      <c r="G35" s="305"/>
      <c r="H35" s="305"/>
      <c r="I35" s="305"/>
      <c r="J35" s="305"/>
      <c r="K35" s="305"/>
      <c r="L35" s="305"/>
      <c r="M35" s="305"/>
    </row>
    <row r="36" spans="1:13" x14ac:dyDescent="0.2">
      <c r="A36" s="305"/>
      <c r="B36" s="305"/>
      <c r="C36" s="305"/>
      <c r="D36" s="305"/>
      <c r="E36" s="305"/>
      <c r="F36" s="305"/>
      <c r="G36" s="305"/>
      <c r="H36" s="305"/>
      <c r="I36" s="305"/>
      <c r="J36" s="305"/>
      <c r="K36" s="305"/>
      <c r="L36" s="305"/>
      <c r="M36" s="305"/>
    </row>
    <row r="37" spans="1:13" x14ac:dyDescent="0.2">
      <c r="A37" s="305"/>
      <c r="B37" s="305"/>
      <c r="C37" s="305"/>
      <c r="D37" s="305"/>
      <c r="E37" s="305"/>
      <c r="F37" s="305"/>
      <c r="G37" s="305"/>
      <c r="H37" s="305"/>
      <c r="I37" s="305"/>
      <c r="J37" s="305"/>
      <c r="K37" s="305"/>
      <c r="L37" s="305"/>
      <c r="M37" s="305"/>
    </row>
    <row r="38" spans="1:13" x14ac:dyDescent="0.2">
      <c r="A38" s="305"/>
      <c r="B38" s="305"/>
      <c r="C38" s="305"/>
      <c r="D38" s="305"/>
      <c r="E38" s="305"/>
      <c r="F38" s="305"/>
      <c r="G38" s="305"/>
      <c r="H38" s="305"/>
      <c r="I38" s="305"/>
      <c r="J38" s="305"/>
      <c r="K38" s="305"/>
      <c r="L38" s="305"/>
      <c r="M38" s="305"/>
    </row>
    <row r="39" spans="1:13" x14ac:dyDescent="0.2">
      <c r="A39" s="305"/>
      <c r="B39" s="305"/>
      <c r="C39" s="305"/>
      <c r="D39" s="305"/>
      <c r="E39" s="305"/>
      <c r="F39" s="305"/>
      <c r="G39" s="305"/>
      <c r="H39" s="305"/>
      <c r="I39" s="305"/>
      <c r="J39" s="305"/>
      <c r="K39" s="305"/>
      <c r="L39" s="305"/>
      <c r="M39" s="305"/>
    </row>
    <row r="40" spans="1:13" x14ac:dyDescent="0.2">
      <c r="A40" s="305"/>
      <c r="B40" s="305"/>
      <c r="C40" s="305"/>
      <c r="D40" s="305"/>
      <c r="E40" s="305"/>
      <c r="F40" s="305"/>
      <c r="G40" s="305"/>
      <c r="H40" s="305"/>
      <c r="I40" s="305"/>
      <c r="J40" s="305"/>
      <c r="K40" s="305"/>
      <c r="L40" s="305"/>
      <c r="M40" s="305"/>
    </row>
    <row r="41" spans="1:13" x14ac:dyDescent="0.2">
      <c r="A41" s="305"/>
      <c r="B41" s="305"/>
      <c r="C41" s="305"/>
      <c r="D41" s="305"/>
      <c r="E41" s="305"/>
      <c r="F41" s="305"/>
      <c r="G41" s="305"/>
      <c r="H41" s="305"/>
      <c r="I41" s="305"/>
      <c r="J41" s="305"/>
      <c r="K41" s="305"/>
      <c r="L41" s="305"/>
      <c r="M41" s="305"/>
    </row>
    <row r="42" spans="1:13" x14ac:dyDescent="0.2">
      <c r="A42" s="305"/>
      <c r="B42" s="305"/>
      <c r="C42" s="305"/>
      <c r="D42" s="305"/>
      <c r="E42" s="305"/>
      <c r="F42" s="305"/>
      <c r="G42" s="305"/>
      <c r="H42" s="305"/>
      <c r="I42" s="305"/>
      <c r="J42" s="305"/>
      <c r="K42" s="305"/>
      <c r="L42" s="305"/>
      <c r="M42" s="305"/>
    </row>
    <row r="43" spans="1:13" x14ac:dyDescent="0.2">
      <c r="A43" s="305"/>
      <c r="B43" s="305"/>
      <c r="C43" s="305"/>
      <c r="D43" s="305"/>
      <c r="E43" s="305"/>
      <c r="F43" s="305"/>
      <c r="G43" s="305"/>
      <c r="H43" s="305"/>
      <c r="I43" s="305"/>
      <c r="J43" s="305"/>
      <c r="K43" s="305"/>
      <c r="L43" s="305"/>
      <c r="M43" s="305"/>
    </row>
    <row r="44" spans="1:13" x14ac:dyDescent="0.2">
      <c r="A44" s="305"/>
      <c r="B44" s="305"/>
      <c r="C44" s="305"/>
      <c r="D44" s="305"/>
      <c r="E44" s="305"/>
      <c r="F44" s="305"/>
      <c r="G44" s="305"/>
      <c r="H44" s="305"/>
      <c r="I44" s="305"/>
      <c r="J44" s="305"/>
      <c r="K44" s="305"/>
      <c r="L44" s="305"/>
      <c r="M44" s="305"/>
    </row>
    <row r="45" spans="1:13" x14ac:dyDescent="0.2">
      <c r="A45" s="305"/>
      <c r="B45" s="305"/>
      <c r="C45" s="305"/>
      <c r="D45" s="305"/>
      <c r="E45" s="305"/>
      <c r="F45" s="305"/>
      <c r="G45" s="305"/>
      <c r="H45" s="305"/>
      <c r="I45" s="305"/>
      <c r="J45" s="305"/>
      <c r="K45" s="305"/>
      <c r="L45" s="305"/>
      <c r="M45" s="305"/>
    </row>
    <row r="46" spans="1:13" x14ac:dyDescent="0.2">
      <c r="A46" s="305"/>
      <c r="B46" s="305"/>
      <c r="C46" s="305"/>
      <c r="D46" s="305"/>
      <c r="E46" s="305"/>
      <c r="F46" s="305"/>
      <c r="G46" s="305"/>
      <c r="H46" s="305"/>
      <c r="I46" s="305"/>
      <c r="J46" s="305"/>
      <c r="K46" s="305"/>
      <c r="L46" s="305"/>
      <c r="M46" s="305"/>
    </row>
    <row r="47" spans="1:13" x14ac:dyDescent="0.2">
      <c r="A47" s="305"/>
      <c r="B47" s="305"/>
      <c r="C47" s="305"/>
      <c r="D47" s="305"/>
      <c r="E47" s="305"/>
      <c r="F47" s="305"/>
      <c r="G47" s="305"/>
      <c r="H47" s="305"/>
      <c r="I47" s="305"/>
      <c r="J47" s="305"/>
      <c r="K47" s="305"/>
      <c r="L47" s="305"/>
      <c r="M47" s="305"/>
    </row>
    <row r="48" spans="1:13" x14ac:dyDescent="0.2">
      <c r="A48" s="305"/>
      <c r="B48" s="305"/>
      <c r="C48" s="305"/>
      <c r="D48" s="305"/>
      <c r="E48" s="305"/>
      <c r="F48" s="305"/>
      <c r="G48" s="305"/>
      <c r="H48" s="305"/>
      <c r="I48" s="305"/>
      <c r="J48" s="305"/>
      <c r="K48" s="305"/>
      <c r="L48" s="305"/>
      <c r="M48" s="305"/>
    </row>
    <row r="49" spans="1:13" x14ac:dyDescent="0.2">
      <c r="A49" s="305"/>
      <c r="B49" s="305"/>
      <c r="C49" s="305"/>
      <c r="D49" s="305"/>
      <c r="E49" s="305"/>
      <c r="F49" s="305"/>
      <c r="G49" s="305"/>
      <c r="H49" s="305"/>
      <c r="I49" s="305"/>
      <c r="J49" s="305"/>
      <c r="K49" s="305"/>
      <c r="L49" s="305"/>
      <c r="M49" s="305"/>
    </row>
    <row r="50" spans="1:13" x14ac:dyDescent="0.2">
      <c r="A50" s="305"/>
      <c r="B50" s="305"/>
      <c r="C50" s="305"/>
      <c r="D50" s="305"/>
      <c r="E50" s="305"/>
      <c r="F50" s="305"/>
      <c r="G50" s="305"/>
      <c r="H50" s="305"/>
      <c r="I50" s="305"/>
      <c r="J50" s="305"/>
      <c r="K50" s="305"/>
      <c r="L50" s="305"/>
      <c r="M50" s="305"/>
    </row>
    <row r="51" spans="1:13" x14ac:dyDescent="0.2">
      <c r="A51" s="305"/>
      <c r="B51" s="305"/>
      <c r="C51" s="305"/>
      <c r="D51" s="305"/>
      <c r="E51" s="305"/>
      <c r="F51" s="305"/>
      <c r="G51" s="305"/>
      <c r="H51" s="305"/>
      <c r="I51" s="305"/>
      <c r="J51" s="305"/>
      <c r="K51" s="305"/>
      <c r="L51" s="305"/>
      <c r="M51" s="305"/>
    </row>
    <row r="52" spans="1:13" x14ac:dyDescent="0.2">
      <c r="A52" s="305"/>
      <c r="B52" s="305"/>
      <c r="C52" s="305"/>
      <c r="D52" s="305"/>
      <c r="E52" s="305"/>
      <c r="F52" s="305"/>
      <c r="G52" s="305"/>
      <c r="H52" s="305"/>
      <c r="I52" s="305"/>
      <c r="J52" s="305"/>
      <c r="K52" s="305"/>
      <c r="L52" s="305"/>
      <c r="M52" s="305"/>
    </row>
    <row r="53" spans="1:13" x14ac:dyDescent="0.2">
      <c r="A53" s="305"/>
      <c r="B53" s="305"/>
      <c r="C53" s="305"/>
      <c r="D53" s="305"/>
      <c r="E53" s="305"/>
      <c r="F53" s="305"/>
      <c r="G53" s="305"/>
      <c r="H53" s="305"/>
      <c r="I53" s="305"/>
      <c r="J53" s="305"/>
      <c r="K53" s="305"/>
      <c r="L53" s="305"/>
      <c r="M53" s="305"/>
    </row>
    <row r="54" spans="1:13" x14ac:dyDescent="0.2">
      <c r="A54" s="305"/>
      <c r="B54" s="305"/>
      <c r="C54" s="305"/>
      <c r="D54" s="305"/>
      <c r="E54" s="305"/>
      <c r="F54" s="305"/>
      <c r="G54" s="305"/>
      <c r="H54" s="305"/>
      <c r="I54" s="305"/>
      <c r="J54" s="305"/>
      <c r="K54" s="305"/>
      <c r="L54" s="305"/>
      <c r="M54" s="305"/>
    </row>
    <row r="55" spans="1:13" x14ac:dyDescent="0.2">
      <c r="A55" s="305"/>
      <c r="B55" s="305"/>
      <c r="C55" s="305"/>
      <c r="D55" s="305"/>
      <c r="E55" s="305"/>
      <c r="F55" s="305"/>
      <c r="G55" s="305"/>
      <c r="H55" s="305"/>
      <c r="I55" s="305"/>
      <c r="J55" s="305"/>
      <c r="K55" s="305"/>
      <c r="L55" s="305"/>
      <c r="M55" s="305"/>
    </row>
    <row r="56" spans="1:13" x14ac:dyDescent="0.2">
      <c r="A56" s="305"/>
      <c r="B56" s="305"/>
      <c r="C56" s="305"/>
      <c r="D56" s="305"/>
      <c r="E56" s="305"/>
      <c r="F56" s="305"/>
      <c r="G56" s="305"/>
      <c r="H56" s="305"/>
      <c r="I56" s="305"/>
      <c r="J56" s="305"/>
      <c r="K56" s="305"/>
      <c r="L56" s="305"/>
      <c r="M56" s="305"/>
    </row>
    <row r="57" spans="1:13" x14ac:dyDescent="0.2">
      <c r="A57" s="305"/>
      <c r="B57" s="305"/>
      <c r="C57" s="305"/>
      <c r="D57" s="305"/>
      <c r="E57" s="305"/>
      <c r="F57" s="305"/>
      <c r="G57" s="305"/>
      <c r="H57" s="305"/>
      <c r="I57" s="305"/>
      <c r="J57" s="305"/>
      <c r="K57" s="305"/>
      <c r="L57" s="305"/>
      <c r="M57" s="305"/>
    </row>
    <row r="58" spans="1:13" x14ac:dyDescent="0.2">
      <c r="A58" s="305"/>
      <c r="B58" s="305"/>
      <c r="C58" s="305"/>
      <c r="D58" s="305"/>
      <c r="E58" s="305"/>
      <c r="F58" s="305"/>
      <c r="G58" s="305"/>
      <c r="H58" s="305"/>
      <c r="I58" s="305"/>
      <c r="J58" s="305"/>
      <c r="K58" s="305"/>
      <c r="L58" s="305"/>
      <c r="M58" s="305"/>
    </row>
    <row r="59" spans="1:13" x14ac:dyDescent="0.2">
      <c r="A59" s="305"/>
      <c r="B59" s="305"/>
      <c r="C59" s="305"/>
      <c r="D59" s="305"/>
      <c r="E59" s="305"/>
      <c r="F59" s="305"/>
      <c r="G59" s="305"/>
      <c r="H59" s="305"/>
      <c r="I59" s="305"/>
      <c r="J59" s="305"/>
      <c r="K59" s="305"/>
      <c r="L59" s="305"/>
      <c r="M59" s="305"/>
    </row>
    <row r="60" spans="1:13" x14ac:dyDescent="0.2">
      <c r="A60" s="305"/>
      <c r="B60" s="305"/>
      <c r="C60" s="305"/>
      <c r="D60" s="305"/>
      <c r="E60" s="305"/>
      <c r="F60" s="305"/>
      <c r="G60" s="305"/>
      <c r="H60" s="305"/>
      <c r="I60" s="305"/>
      <c r="J60" s="305"/>
      <c r="K60" s="305"/>
      <c r="L60" s="305"/>
      <c r="M60" s="305"/>
    </row>
    <row r="61" spans="1:13" x14ac:dyDescent="0.2">
      <c r="A61" s="305"/>
      <c r="B61" s="305"/>
      <c r="C61" s="305"/>
      <c r="D61" s="305"/>
      <c r="E61" s="305"/>
      <c r="F61" s="305"/>
      <c r="G61" s="305"/>
      <c r="H61" s="305"/>
      <c r="I61" s="305"/>
      <c r="J61" s="305"/>
      <c r="K61" s="305"/>
      <c r="L61" s="305"/>
      <c r="M61" s="305"/>
    </row>
    <row r="62" spans="1:13" x14ac:dyDescent="0.2">
      <c r="A62" s="305"/>
      <c r="B62" s="305"/>
      <c r="C62" s="305"/>
      <c r="D62" s="305"/>
      <c r="E62" s="305"/>
      <c r="F62" s="305"/>
      <c r="G62" s="305"/>
      <c r="H62" s="305"/>
      <c r="I62" s="305"/>
      <c r="J62" s="305"/>
      <c r="K62" s="305"/>
      <c r="L62" s="305"/>
      <c r="M62" s="305"/>
    </row>
    <row r="63" spans="1:13" x14ac:dyDescent="0.2">
      <c r="A63" s="305"/>
      <c r="B63" s="305"/>
      <c r="C63" s="305"/>
      <c r="D63" s="305"/>
      <c r="E63" s="305"/>
      <c r="F63" s="305"/>
      <c r="G63" s="305"/>
      <c r="H63" s="305"/>
      <c r="I63" s="305"/>
      <c r="J63" s="305"/>
      <c r="K63" s="305"/>
      <c r="L63" s="305"/>
      <c r="M63" s="305"/>
    </row>
    <row r="64" spans="1:13" x14ac:dyDescent="0.2">
      <c r="A64" s="305"/>
      <c r="B64" s="305"/>
      <c r="C64" s="305"/>
      <c r="D64" s="305"/>
      <c r="E64" s="305"/>
      <c r="F64" s="305"/>
      <c r="G64" s="305"/>
      <c r="H64" s="305"/>
      <c r="I64" s="305"/>
      <c r="J64" s="305"/>
      <c r="K64" s="305"/>
      <c r="L64" s="305"/>
      <c r="M64" s="305"/>
    </row>
    <row r="65" spans="1:13" x14ac:dyDescent="0.2">
      <c r="A65" s="305"/>
      <c r="B65" s="305"/>
      <c r="C65" s="305"/>
      <c r="D65" s="305"/>
      <c r="E65" s="305"/>
      <c r="F65" s="305"/>
      <c r="G65" s="305"/>
      <c r="H65" s="305"/>
      <c r="I65" s="305"/>
      <c r="J65" s="305"/>
      <c r="K65" s="305"/>
      <c r="L65" s="305"/>
      <c r="M65" s="305"/>
    </row>
    <row r="66" spans="1:13" x14ac:dyDescent="0.2">
      <c r="A66" s="305"/>
      <c r="B66" s="305"/>
      <c r="C66" s="305"/>
      <c r="D66" s="305"/>
      <c r="E66" s="305"/>
      <c r="F66" s="305"/>
      <c r="G66" s="305"/>
      <c r="H66" s="305"/>
      <c r="I66" s="305"/>
      <c r="J66" s="305"/>
      <c r="K66" s="305"/>
      <c r="L66" s="305"/>
      <c r="M66" s="305"/>
    </row>
    <row r="67" spans="1:13" x14ac:dyDescent="0.2">
      <c r="A67" s="305"/>
      <c r="B67" s="305"/>
      <c r="C67" s="305"/>
      <c r="D67" s="305"/>
      <c r="E67" s="305"/>
      <c r="F67" s="305"/>
      <c r="G67" s="305"/>
      <c r="H67" s="305"/>
      <c r="I67" s="305"/>
      <c r="J67" s="305"/>
      <c r="K67" s="305"/>
      <c r="L67" s="305"/>
      <c r="M67" s="305"/>
    </row>
    <row r="68" spans="1:13" x14ac:dyDescent="0.2">
      <c r="A68" s="305"/>
      <c r="B68" s="305"/>
      <c r="C68" s="305"/>
      <c r="D68" s="305"/>
      <c r="E68" s="305"/>
      <c r="F68" s="305"/>
      <c r="G68" s="305"/>
      <c r="H68" s="305"/>
      <c r="I68" s="305"/>
      <c r="J68" s="305"/>
      <c r="K68" s="305"/>
      <c r="L68" s="305"/>
      <c r="M68" s="305"/>
    </row>
    <row r="69" spans="1:13" x14ac:dyDescent="0.2">
      <c r="A69" s="305"/>
      <c r="B69" s="305"/>
      <c r="C69" s="305"/>
      <c r="D69" s="305"/>
      <c r="E69" s="305"/>
      <c r="F69" s="305"/>
      <c r="G69" s="305"/>
      <c r="H69" s="305"/>
      <c r="I69" s="305"/>
      <c r="J69" s="305"/>
      <c r="K69" s="305"/>
      <c r="L69" s="305"/>
      <c r="M69" s="305"/>
    </row>
    <row r="70" spans="1:13" x14ac:dyDescent="0.2">
      <c r="A70" s="305"/>
      <c r="B70" s="305"/>
      <c r="C70" s="305"/>
      <c r="D70" s="305"/>
      <c r="E70" s="305"/>
      <c r="F70" s="305"/>
      <c r="G70" s="305"/>
      <c r="H70" s="305"/>
      <c r="I70" s="305"/>
      <c r="J70" s="305"/>
      <c r="K70" s="305"/>
      <c r="L70" s="305"/>
      <c r="M70" s="305"/>
    </row>
    <row r="71" spans="1:13" x14ac:dyDescent="0.2">
      <c r="A71" s="305"/>
      <c r="B71" s="305"/>
      <c r="C71" s="305"/>
      <c r="D71" s="305"/>
      <c r="E71" s="305"/>
      <c r="F71" s="305"/>
      <c r="G71" s="305"/>
      <c r="H71" s="305"/>
      <c r="I71" s="305"/>
      <c r="J71" s="305"/>
      <c r="K71" s="305"/>
      <c r="L71" s="305"/>
      <c r="M71" s="305"/>
    </row>
    <row r="72" spans="1:13" x14ac:dyDescent="0.2">
      <c r="A72" s="305"/>
      <c r="B72" s="305"/>
      <c r="C72" s="305"/>
      <c r="D72" s="305"/>
      <c r="E72" s="305"/>
      <c r="F72" s="305"/>
      <c r="G72" s="305"/>
      <c r="H72" s="305"/>
      <c r="I72" s="305"/>
      <c r="J72" s="305"/>
      <c r="K72" s="305"/>
      <c r="L72" s="305"/>
      <c r="M72" s="305"/>
    </row>
    <row r="73" spans="1:13" x14ac:dyDescent="0.2">
      <c r="A73" s="305"/>
      <c r="B73" s="305"/>
      <c r="C73" s="305"/>
      <c r="D73" s="305"/>
      <c r="E73" s="305"/>
      <c r="F73" s="305"/>
      <c r="G73" s="305"/>
      <c r="H73" s="305"/>
      <c r="I73" s="305"/>
      <c r="J73" s="305"/>
      <c r="K73" s="305"/>
      <c r="L73" s="305"/>
      <c r="M73" s="305"/>
    </row>
    <row r="74" spans="1:13" x14ac:dyDescent="0.2">
      <c r="A74" s="305"/>
      <c r="B74" s="305"/>
      <c r="C74" s="305"/>
      <c r="D74" s="305"/>
      <c r="E74" s="305"/>
      <c r="F74" s="305"/>
      <c r="G74" s="305"/>
      <c r="H74" s="305"/>
      <c r="I74" s="305"/>
      <c r="J74" s="305"/>
      <c r="K74" s="305"/>
      <c r="L74" s="305"/>
      <c r="M74" s="305"/>
    </row>
    <row r="75" spans="1:13" x14ac:dyDescent="0.2">
      <c r="A75" s="305"/>
      <c r="B75" s="305"/>
      <c r="C75" s="305"/>
      <c r="D75" s="305"/>
      <c r="E75" s="305"/>
      <c r="F75" s="305"/>
      <c r="G75" s="305"/>
      <c r="H75" s="305"/>
      <c r="I75" s="305"/>
      <c r="J75" s="305"/>
      <c r="K75" s="305"/>
      <c r="L75" s="305"/>
      <c r="M75" s="305"/>
    </row>
    <row r="76" spans="1:13" x14ac:dyDescent="0.2">
      <c r="A76" s="305"/>
      <c r="B76" s="305"/>
      <c r="C76" s="305"/>
      <c r="D76" s="305"/>
      <c r="E76" s="305"/>
      <c r="F76" s="305"/>
      <c r="G76" s="305"/>
      <c r="H76" s="305"/>
      <c r="I76" s="305"/>
      <c r="J76" s="305"/>
      <c r="K76" s="305"/>
      <c r="L76" s="305"/>
      <c r="M76" s="305"/>
    </row>
    <row r="77" spans="1:13" x14ac:dyDescent="0.2">
      <c r="A77" s="305"/>
      <c r="B77" s="305"/>
      <c r="C77" s="305"/>
      <c r="D77" s="305"/>
      <c r="E77" s="305"/>
      <c r="F77" s="305"/>
      <c r="G77" s="305"/>
      <c r="H77" s="305"/>
      <c r="I77" s="305"/>
      <c r="J77" s="305"/>
      <c r="K77" s="305"/>
      <c r="L77" s="305"/>
      <c r="M77" s="305"/>
    </row>
    <row r="78" spans="1:13" x14ac:dyDescent="0.2">
      <c r="A78" s="305"/>
      <c r="B78" s="305"/>
      <c r="C78" s="305"/>
      <c r="D78" s="305"/>
      <c r="E78" s="305"/>
      <c r="F78" s="305"/>
      <c r="G78" s="305"/>
      <c r="H78" s="305"/>
      <c r="I78" s="305"/>
      <c r="J78" s="305"/>
      <c r="K78" s="305"/>
      <c r="L78" s="305"/>
      <c r="M78" s="305"/>
    </row>
    <row r="79" spans="1:13" x14ac:dyDescent="0.2">
      <c r="A79" s="305"/>
      <c r="B79" s="305"/>
      <c r="C79" s="305"/>
      <c r="D79" s="305"/>
      <c r="E79" s="305"/>
      <c r="F79" s="305"/>
      <c r="G79" s="305"/>
      <c r="H79" s="305"/>
      <c r="I79" s="305"/>
      <c r="J79" s="305"/>
      <c r="K79" s="305"/>
      <c r="L79" s="305"/>
      <c r="M79" s="305"/>
    </row>
    <row r="80" spans="1:13" x14ac:dyDescent="0.2">
      <c r="A80" s="305"/>
      <c r="B80" s="305"/>
      <c r="C80" s="305"/>
      <c r="D80" s="305"/>
      <c r="E80" s="305"/>
      <c r="F80" s="305"/>
      <c r="G80" s="305"/>
      <c r="H80" s="305"/>
      <c r="I80" s="305"/>
      <c r="J80" s="305"/>
      <c r="K80" s="305"/>
      <c r="L80" s="305"/>
      <c r="M80" s="305"/>
    </row>
    <row r="81" spans="1:13" x14ac:dyDescent="0.2">
      <c r="A81" s="305"/>
      <c r="B81" s="305"/>
      <c r="C81" s="305"/>
      <c r="D81" s="305"/>
      <c r="E81" s="305"/>
      <c r="F81" s="305"/>
      <c r="G81" s="305"/>
      <c r="H81" s="305"/>
      <c r="I81" s="305"/>
      <c r="J81" s="305"/>
      <c r="K81" s="305"/>
      <c r="L81" s="305"/>
      <c r="M81" s="305"/>
    </row>
    <row r="82" spans="1:13" x14ac:dyDescent="0.2">
      <c r="A82" s="305"/>
      <c r="B82" s="305"/>
      <c r="C82" s="305"/>
      <c r="D82" s="305"/>
      <c r="E82" s="305"/>
      <c r="F82" s="305"/>
      <c r="G82" s="305"/>
      <c r="H82" s="305"/>
      <c r="I82" s="305"/>
      <c r="J82" s="305"/>
      <c r="K82" s="305"/>
      <c r="L82" s="305"/>
      <c r="M82" s="305"/>
    </row>
    <row r="83" spans="1:13" x14ac:dyDescent="0.2">
      <c r="A83" s="305"/>
      <c r="B83" s="305"/>
      <c r="C83" s="305"/>
      <c r="D83" s="305"/>
      <c r="E83" s="305"/>
      <c r="F83" s="305"/>
      <c r="G83" s="305"/>
      <c r="H83" s="305"/>
      <c r="I83" s="305"/>
      <c r="J83" s="305"/>
      <c r="K83" s="305"/>
      <c r="L83" s="305"/>
      <c r="M83" s="305"/>
    </row>
    <row r="84" spans="1:13" x14ac:dyDescent="0.2">
      <c r="A84" s="305"/>
      <c r="B84" s="305"/>
      <c r="C84" s="305"/>
      <c r="D84" s="305"/>
      <c r="E84" s="305"/>
      <c r="F84" s="305"/>
      <c r="G84" s="305"/>
      <c r="H84" s="305"/>
      <c r="I84" s="305"/>
      <c r="J84" s="305"/>
      <c r="K84" s="305"/>
      <c r="L84" s="305"/>
      <c r="M84" s="305"/>
    </row>
    <row r="85" spans="1:13" x14ac:dyDescent="0.2">
      <c r="A85" s="305"/>
      <c r="B85" s="305"/>
      <c r="C85" s="305"/>
      <c r="D85" s="305"/>
      <c r="E85" s="305"/>
      <c r="F85" s="305"/>
      <c r="G85" s="305"/>
      <c r="H85" s="305"/>
      <c r="I85" s="305"/>
      <c r="J85" s="305"/>
      <c r="K85" s="305"/>
      <c r="L85" s="305"/>
      <c r="M85" s="305"/>
    </row>
    <row r="86" spans="1:13" x14ac:dyDescent="0.2">
      <c r="A86" s="305"/>
      <c r="B86" s="305"/>
      <c r="C86" s="305"/>
      <c r="D86" s="305"/>
      <c r="E86" s="305"/>
      <c r="F86" s="305"/>
      <c r="G86" s="305"/>
      <c r="H86" s="305"/>
      <c r="I86" s="305"/>
      <c r="J86" s="305"/>
      <c r="K86" s="305"/>
      <c r="L86" s="305"/>
      <c r="M86" s="305"/>
    </row>
    <row r="87" spans="1:13" x14ac:dyDescent="0.2">
      <c r="A87" s="305"/>
      <c r="B87" s="305"/>
      <c r="C87" s="305"/>
      <c r="D87" s="305"/>
      <c r="E87" s="305"/>
      <c r="F87" s="305"/>
      <c r="G87" s="305"/>
      <c r="H87" s="305"/>
      <c r="I87" s="305"/>
      <c r="J87" s="305"/>
      <c r="K87" s="305"/>
      <c r="L87" s="305"/>
      <c r="M87" s="305"/>
    </row>
    <row r="88" spans="1:13" x14ac:dyDescent="0.2">
      <c r="A88" s="305"/>
      <c r="B88" s="305"/>
      <c r="C88" s="305"/>
      <c r="D88" s="305"/>
      <c r="E88" s="305"/>
      <c r="F88" s="305"/>
      <c r="G88" s="305"/>
      <c r="H88" s="305"/>
      <c r="I88" s="305"/>
      <c r="J88" s="305"/>
      <c r="K88" s="305"/>
      <c r="L88" s="305"/>
      <c r="M88" s="305"/>
    </row>
    <row r="89" spans="1:13" x14ac:dyDescent="0.2">
      <c r="A89" s="305"/>
      <c r="B89" s="305"/>
      <c r="C89" s="305"/>
      <c r="D89" s="305"/>
      <c r="E89" s="305"/>
      <c r="F89" s="305"/>
      <c r="G89" s="305"/>
      <c r="H89" s="305"/>
      <c r="I89" s="305"/>
      <c r="J89" s="305"/>
      <c r="K89" s="305"/>
      <c r="L89" s="305"/>
      <c r="M89" s="305"/>
    </row>
    <row r="90" spans="1:13" x14ac:dyDescent="0.2">
      <c r="A90" s="305"/>
      <c r="B90" s="305"/>
      <c r="C90" s="305"/>
      <c r="D90" s="305"/>
      <c r="E90" s="305"/>
      <c r="F90" s="305"/>
      <c r="G90" s="305"/>
      <c r="H90" s="305"/>
      <c r="I90" s="305"/>
      <c r="J90" s="305"/>
      <c r="K90" s="305"/>
      <c r="L90" s="305"/>
      <c r="M90" s="305"/>
    </row>
    <row r="91" spans="1:13" x14ac:dyDescent="0.2">
      <c r="A91" s="305"/>
      <c r="B91" s="305"/>
      <c r="C91" s="305"/>
      <c r="D91" s="305"/>
      <c r="E91" s="305"/>
      <c r="F91" s="305"/>
      <c r="G91" s="305"/>
      <c r="H91" s="305"/>
      <c r="I91" s="305"/>
      <c r="J91" s="305"/>
      <c r="K91" s="305"/>
      <c r="L91" s="305"/>
      <c r="M91" s="305"/>
    </row>
    <row r="92" spans="1:13" x14ac:dyDescent="0.2">
      <c r="A92" s="305"/>
      <c r="B92" s="305"/>
      <c r="C92" s="305"/>
      <c r="D92" s="305"/>
      <c r="E92" s="305"/>
      <c r="F92" s="305"/>
      <c r="G92" s="305"/>
      <c r="H92" s="305"/>
      <c r="I92" s="305"/>
      <c r="J92" s="305"/>
      <c r="K92" s="305"/>
      <c r="L92" s="305"/>
      <c r="M92" s="305"/>
    </row>
    <row r="93" spans="1:13" x14ac:dyDescent="0.2">
      <c r="A93" s="305"/>
      <c r="B93" s="305"/>
      <c r="C93" s="305"/>
      <c r="D93" s="305"/>
      <c r="E93" s="305"/>
      <c r="F93" s="305"/>
      <c r="G93" s="305"/>
      <c r="H93" s="305"/>
      <c r="I93" s="305"/>
      <c r="J93" s="305"/>
      <c r="K93" s="305"/>
      <c r="L93" s="305"/>
      <c r="M93" s="305"/>
    </row>
    <row r="94" spans="1:13" x14ac:dyDescent="0.2">
      <c r="A94" s="305"/>
      <c r="B94" s="305"/>
      <c r="C94" s="305"/>
      <c r="D94" s="305"/>
      <c r="E94" s="305"/>
      <c r="F94" s="305"/>
      <c r="G94" s="305"/>
      <c r="H94" s="305"/>
      <c r="I94" s="305"/>
      <c r="J94" s="305"/>
      <c r="K94" s="305"/>
      <c r="L94" s="305"/>
      <c r="M94" s="305"/>
    </row>
    <row r="95" spans="1:13" x14ac:dyDescent="0.2">
      <c r="A95" s="305"/>
      <c r="B95" s="305"/>
      <c r="C95" s="305"/>
      <c r="D95" s="305"/>
      <c r="E95" s="305"/>
      <c r="F95" s="305"/>
      <c r="G95" s="305"/>
      <c r="H95" s="305"/>
      <c r="I95" s="305"/>
      <c r="J95" s="305"/>
      <c r="K95" s="305"/>
      <c r="L95" s="305"/>
      <c r="M95" s="305"/>
    </row>
    <row r="96" spans="1:13" x14ac:dyDescent="0.2">
      <c r="A96" s="305"/>
      <c r="B96" s="305"/>
      <c r="C96" s="305"/>
      <c r="D96" s="305"/>
      <c r="E96" s="305"/>
      <c r="F96" s="305"/>
      <c r="G96" s="305"/>
      <c r="H96" s="305"/>
      <c r="I96" s="305"/>
      <c r="J96" s="305"/>
      <c r="K96" s="305"/>
      <c r="L96" s="305"/>
      <c r="M96" s="305"/>
    </row>
    <row r="97" spans="1:13" x14ac:dyDescent="0.2">
      <c r="A97" s="305"/>
      <c r="B97" s="305"/>
      <c r="C97" s="305"/>
      <c r="D97" s="305"/>
      <c r="E97" s="305"/>
      <c r="F97" s="305"/>
      <c r="G97" s="305"/>
      <c r="H97" s="305"/>
      <c r="I97" s="305"/>
      <c r="J97" s="305"/>
      <c r="K97" s="305"/>
      <c r="L97" s="305"/>
      <c r="M97" s="305"/>
    </row>
    <row r="98" spans="1:13" x14ac:dyDescent="0.2">
      <c r="A98" s="305"/>
      <c r="B98" s="305"/>
      <c r="C98" s="305"/>
      <c r="D98" s="305"/>
      <c r="E98" s="305"/>
      <c r="F98" s="305"/>
      <c r="G98" s="305"/>
      <c r="H98" s="305"/>
      <c r="I98" s="305"/>
      <c r="J98" s="305"/>
      <c r="K98" s="305"/>
      <c r="L98" s="305"/>
      <c r="M98" s="305"/>
    </row>
    <row r="99" spans="1:13" x14ac:dyDescent="0.2">
      <c r="A99" s="305"/>
      <c r="B99" s="305"/>
      <c r="C99" s="305"/>
      <c r="D99" s="305"/>
      <c r="E99" s="305"/>
      <c r="F99" s="305"/>
      <c r="G99" s="305"/>
      <c r="H99" s="305"/>
      <c r="I99" s="305"/>
      <c r="J99" s="305"/>
      <c r="K99" s="305"/>
      <c r="L99" s="305"/>
      <c r="M99" s="305"/>
    </row>
    <row r="100" spans="1:13" x14ac:dyDescent="0.2">
      <c r="A100" s="305"/>
      <c r="B100" s="305"/>
      <c r="C100" s="305"/>
      <c r="D100" s="305"/>
      <c r="E100" s="305"/>
      <c r="F100" s="305"/>
      <c r="G100" s="305"/>
      <c r="H100" s="305"/>
      <c r="I100" s="305"/>
      <c r="J100" s="305"/>
      <c r="K100" s="305"/>
      <c r="L100" s="305"/>
      <c r="M100" s="305"/>
    </row>
    <row r="101" spans="1:13" x14ac:dyDescent="0.2">
      <c r="A101" s="305"/>
      <c r="B101" s="305"/>
      <c r="C101" s="305"/>
      <c r="D101" s="305"/>
      <c r="E101" s="305"/>
      <c r="F101" s="305"/>
      <c r="G101" s="305"/>
      <c r="H101" s="305"/>
      <c r="I101" s="305"/>
      <c r="J101" s="305"/>
      <c r="K101" s="305"/>
      <c r="L101" s="305"/>
      <c r="M101" s="305"/>
    </row>
    <row r="102" spans="1:13" x14ac:dyDescent="0.2">
      <c r="A102" s="305"/>
      <c r="B102" s="305"/>
      <c r="C102" s="305"/>
      <c r="D102" s="305"/>
      <c r="E102" s="305"/>
      <c r="F102" s="305"/>
      <c r="G102" s="305"/>
      <c r="H102" s="305"/>
      <c r="I102" s="305"/>
      <c r="J102" s="305"/>
      <c r="K102" s="305"/>
      <c r="L102" s="305"/>
      <c r="M102" s="305"/>
    </row>
  </sheetData>
  <pageMargins left="0.25" right="0.25" top="1" bottom="1" header="0.5" footer="0.5"/>
  <pageSetup scale="8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N121"/>
  <sheetViews>
    <sheetView showGridLines="0" zoomScaleNormal="100" workbookViewId="0">
      <selection activeCell="J36" sqref="J36"/>
    </sheetView>
  </sheetViews>
  <sheetFormatPr defaultRowHeight="12.75" x14ac:dyDescent="0.2"/>
  <cols>
    <col min="1" max="1" width="9.140625" style="186"/>
    <col min="2" max="2" width="3.7109375" style="186" customWidth="1"/>
    <col min="3" max="12" width="12.7109375" style="186" customWidth="1"/>
    <col min="13" max="16384" width="9.140625" style="186"/>
  </cols>
  <sheetData>
    <row r="1" spans="1:13" x14ac:dyDescent="0.2">
      <c r="A1" s="320" t="str">
        <f>"Commodity Pricing:  "&amp;TEXT(A7,"mmm-yy")&amp;" - "&amp;TEXT(A18,"mmm-yy")</f>
        <v>Commodity Pricing:  May-17 - Apr-18</v>
      </c>
      <c r="B1" s="319"/>
    </row>
    <row r="2" spans="1:13" x14ac:dyDescent="0.2">
      <c r="A2" s="318" t="s">
        <v>20</v>
      </c>
      <c r="B2" s="318"/>
    </row>
    <row r="3" spans="1:13" x14ac:dyDescent="0.2">
      <c r="A3" s="318"/>
      <c r="B3" s="318"/>
    </row>
    <row r="4" spans="1:13" x14ac:dyDescent="0.2">
      <c r="B4" s="314"/>
      <c r="C4" s="316" t="s">
        <v>21</v>
      </c>
      <c r="D4" s="316" t="s">
        <v>22</v>
      </c>
      <c r="E4" s="316" t="s">
        <v>55</v>
      </c>
      <c r="F4" s="316" t="s">
        <v>23</v>
      </c>
      <c r="G4" s="316" t="s">
        <v>24</v>
      </c>
      <c r="H4" s="316" t="s">
        <v>25</v>
      </c>
      <c r="I4" s="316" t="s">
        <v>26</v>
      </c>
      <c r="J4" s="316" t="s">
        <v>27</v>
      </c>
      <c r="K4" s="316" t="s">
        <v>28</v>
      </c>
      <c r="L4" s="316" t="s">
        <v>29</v>
      </c>
      <c r="M4" s="316"/>
    </row>
    <row r="5" spans="1:13" x14ac:dyDescent="0.2">
      <c r="B5" s="314"/>
      <c r="C5" s="323">
        <v>69</v>
      </c>
      <c r="D5" s="323">
        <v>71</v>
      </c>
      <c r="E5" s="323">
        <v>72</v>
      </c>
      <c r="F5" s="323">
        <v>67</v>
      </c>
      <c r="G5" s="323">
        <v>64</v>
      </c>
      <c r="H5" s="323">
        <v>74</v>
      </c>
      <c r="I5" s="323">
        <v>68</v>
      </c>
      <c r="J5" s="323">
        <v>68</v>
      </c>
      <c r="K5" s="323">
        <v>65</v>
      </c>
      <c r="L5" s="323">
        <v>73</v>
      </c>
      <c r="M5" s="314"/>
    </row>
    <row r="6" spans="1:13" x14ac:dyDescent="0.2">
      <c r="B6" s="314"/>
      <c r="C6" s="314"/>
      <c r="D6" s="314"/>
      <c r="E6" s="314"/>
      <c r="F6" s="314"/>
      <c r="G6" s="314"/>
      <c r="H6" s="314"/>
      <c r="I6" s="314"/>
      <c r="J6" s="314"/>
      <c r="K6" s="314"/>
      <c r="L6" s="314"/>
      <c r="M6" s="314"/>
    </row>
    <row r="7" spans="1:13" x14ac:dyDescent="0.2">
      <c r="A7" s="313">
        <f>+'Commodity Tonnages 2018'!A7</f>
        <v>42856</v>
      </c>
      <c r="B7" s="314"/>
      <c r="C7" s="307">
        <f>HLOOKUP($A7,'Single Family 2018'!$C$6:$N$79,C$5,FALSE)</f>
        <v>905.35</v>
      </c>
      <c r="D7" s="311">
        <f>HLOOKUP($A7,'Single Family 2018'!$C$6:$N$79,D$5,FALSE)</f>
        <v>-15.91</v>
      </c>
      <c r="E7" s="311">
        <f>HLOOKUP($A7,'Single Family 2018'!$C$6:$N$79,E$5,FALSE)</f>
        <v>0</v>
      </c>
      <c r="F7" s="307">
        <f>HLOOKUP($A7,'Single Family 2018'!$C$6:$N$79,F$5,FALSE)</f>
        <v>71.989999999999995</v>
      </c>
      <c r="G7" s="307">
        <f>HLOOKUP($A7,'Single Family 2018'!$C$6:$N$79,G$5,FALSE)</f>
        <v>65.3</v>
      </c>
      <c r="H7" s="307">
        <f>HLOOKUP($A7,'Single Family 2018'!$C$6:$N$79,H$5,FALSE)</f>
        <v>60.14</v>
      </c>
      <c r="I7" s="307">
        <f>HLOOKUP($A7,'Single Family 2018'!$C$6:$N$79,I$5,FALSE)</f>
        <v>92.51</v>
      </c>
      <c r="J7" s="307">
        <f>HLOOKUP($A7,'Single Family 2018'!$C$6:$N$79,J$5,FALSE)</f>
        <v>92.51</v>
      </c>
      <c r="K7" s="307">
        <f>HLOOKUP($A7,'Single Family 2018'!$C$6:$N$79,K$5,FALSE)</f>
        <v>132.68</v>
      </c>
      <c r="L7" s="311">
        <f>HLOOKUP($A7,'Single Family 2018'!$C$6:$N$79,L$5,FALSE)</f>
        <v>-134.59</v>
      </c>
      <c r="M7" s="314"/>
    </row>
    <row r="8" spans="1:13" x14ac:dyDescent="0.2">
      <c r="A8" s="313">
        <f>+'Commodity Tonnages 2018'!A8</f>
        <v>42916</v>
      </c>
      <c r="B8" s="314"/>
      <c r="C8" s="307">
        <f>HLOOKUP($A8,'Single Family 2018'!$C$6:$N$79,C$5,FALSE)</f>
        <v>894.34</v>
      </c>
      <c r="D8" s="311">
        <f>HLOOKUP($A8,'Single Family 2018'!$C$6:$N$79,D$5,FALSE)</f>
        <v>-6.4</v>
      </c>
      <c r="E8" s="311">
        <f>HLOOKUP($A8,'Single Family 2018'!$C$6:$N$79,E$5,FALSE)</f>
        <v>0</v>
      </c>
      <c r="F8" s="307">
        <f>HLOOKUP($A8,'Single Family 2018'!$C$6:$N$79,F$5,FALSE)</f>
        <v>69.08</v>
      </c>
      <c r="G8" s="307">
        <f>HLOOKUP($A8,'Single Family 2018'!$C$6:$N$79,G$5,FALSE)</f>
        <v>85.06</v>
      </c>
      <c r="H8" s="307">
        <f>HLOOKUP($A8,'Single Family 2018'!$C$6:$N$79,H$5,FALSE)</f>
        <v>78.88</v>
      </c>
      <c r="I8" s="307">
        <f>HLOOKUP($A8,'Single Family 2018'!$C$6:$N$79,I$5,FALSE)</f>
        <v>70.599999999999994</v>
      </c>
      <c r="J8" s="307">
        <f>HLOOKUP($A8,'Single Family 2018'!$C$6:$N$79,J$5,FALSE)</f>
        <v>70.599999999999994</v>
      </c>
      <c r="K8" s="307">
        <f>HLOOKUP($A8,'Single Family 2018'!$C$6:$N$79,K$5,FALSE)</f>
        <v>159.52000000000001</v>
      </c>
      <c r="L8" s="311">
        <f>HLOOKUP($A8,'Single Family 2018'!$C$6:$N$79,L$5,FALSE)</f>
        <v>-134.59</v>
      </c>
      <c r="M8" s="314"/>
    </row>
    <row r="9" spans="1:13" x14ac:dyDescent="0.2">
      <c r="A9" s="313">
        <f>+'Commodity Tonnages 2018'!A9</f>
        <v>42947</v>
      </c>
      <c r="B9" s="305"/>
      <c r="C9" s="307">
        <f>HLOOKUP($A9,'Single Family 2018'!$C$6:$N$79,C$5,FALSE)</f>
        <v>871.1</v>
      </c>
      <c r="D9" s="311">
        <f>HLOOKUP($A9,'Single Family 2018'!$C$6:$N$79,D$5,FALSE)</f>
        <v>-6.61</v>
      </c>
      <c r="E9" s="311">
        <f>HLOOKUP($A9,'Single Family 2018'!$C$6:$N$79,E$5,FALSE)</f>
        <v>0</v>
      </c>
      <c r="F9" s="307">
        <f>HLOOKUP($A9,'Single Family 2018'!$C$6:$N$79,F$5,FALSE)</f>
        <v>67.63</v>
      </c>
      <c r="G9" s="307">
        <f>HLOOKUP($A9,'Single Family 2018'!$C$6:$N$79,G$5,FALSE)</f>
        <v>98.56</v>
      </c>
      <c r="H9" s="307">
        <f>HLOOKUP($A9,'Single Family 2018'!$C$6:$N$79,H$5,FALSE)</f>
        <v>93.44</v>
      </c>
      <c r="I9" s="307">
        <f>HLOOKUP($A9,'Single Family 2018'!$C$6:$N$79,I$5,FALSE)</f>
        <v>62.55</v>
      </c>
      <c r="J9" s="307">
        <f>HLOOKUP($A9,'Single Family 2018'!$C$6:$N$79,J$5,FALSE)</f>
        <v>62.55</v>
      </c>
      <c r="K9" s="307">
        <f>HLOOKUP($A9,'Single Family 2018'!$C$6:$N$79,K$5,FALSE)</f>
        <v>163.29</v>
      </c>
      <c r="L9" s="311">
        <f>HLOOKUP($A9,'Single Family 2018'!$C$6:$N$79,L$5,FALSE)</f>
        <v>-134.59</v>
      </c>
      <c r="M9" s="306"/>
    </row>
    <row r="10" spans="1:13" x14ac:dyDescent="0.2">
      <c r="A10" s="313">
        <f>+'Commodity Tonnages 2018'!A10</f>
        <v>42978</v>
      </c>
      <c r="B10" s="305"/>
      <c r="C10" s="307">
        <f>HLOOKUP($A10,'Single Family 2018'!$C$6:$N$79,C$5,FALSE)</f>
        <v>905.36</v>
      </c>
      <c r="D10" s="311">
        <f>HLOOKUP($A10,'Single Family 2018'!$C$6:$N$79,D$5,FALSE)</f>
        <v>-4.34</v>
      </c>
      <c r="E10" s="311">
        <f>HLOOKUP($A10,'Single Family 2018'!$C$6:$N$79,E$5,FALSE)</f>
        <v>0</v>
      </c>
      <c r="F10" s="307">
        <f>HLOOKUP($A10,'Single Family 2018'!$C$6:$N$79,F$5,FALSE)</f>
        <v>78.11</v>
      </c>
      <c r="G10" s="307">
        <f>HLOOKUP($A10,'Single Family 2018'!$C$6:$N$79,G$5,FALSE)</f>
        <v>81.63</v>
      </c>
      <c r="H10" s="307">
        <f>HLOOKUP($A10,'Single Family 2018'!$C$6:$N$79,H$5,FALSE)</f>
        <v>77.209999999999994</v>
      </c>
      <c r="I10" s="307">
        <f>HLOOKUP($A10,'Single Family 2018'!$C$6:$N$79,I$5,FALSE)</f>
        <v>83.03</v>
      </c>
      <c r="J10" s="307">
        <f>HLOOKUP($A10,'Single Family 2018'!$C$6:$N$79,J$5,FALSE)</f>
        <v>83.03</v>
      </c>
      <c r="K10" s="307">
        <f>HLOOKUP($A10,'Single Family 2018'!$C$6:$N$79,K$5,FALSE)</f>
        <v>145.72999999999999</v>
      </c>
      <c r="L10" s="311">
        <f>HLOOKUP($A10,'Single Family 2018'!$C$6:$N$79,L$5,FALSE)</f>
        <v>-134.59</v>
      </c>
      <c r="M10" s="306"/>
    </row>
    <row r="11" spans="1:13" x14ac:dyDescent="0.2">
      <c r="A11" s="313">
        <f>+'Commodity Tonnages 2018'!A11</f>
        <v>43008</v>
      </c>
      <c r="B11" s="305"/>
      <c r="C11" s="307">
        <f>HLOOKUP($A11,'Single Family 2018'!$C$6:$N$79,C$5,FALSE)</f>
        <v>953.11</v>
      </c>
      <c r="D11" s="311">
        <f>HLOOKUP($A11,'Single Family 2018'!$C$6:$N$79,D$5,FALSE)</f>
        <v>-5.61</v>
      </c>
      <c r="E11" s="311">
        <f>HLOOKUP($A11,'Single Family 2018'!$C$6:$N$79,E$5,FALSE)</f>
        <v>0</v>
      </c>
      <c r="F11" s="307">
        <f>HLOOKUP($A11,'Single Family 2018'!$C$6:$N$79,F$5,FALSE)</f>
        <v>86.53</v>
      </c>
      <c r="G11" s="307">
        <f>HLOOKUP($A11,'Single Family 2018'!$C$6:$N$79,G$5,FALSE)</f>
        <v>63.02</v>
      </c>
      <c r="H11" s="307">
        <f>HLOOKUP($A11,'Single Family 2018'!$C$6:$N$79,H$5,FALSE)</f>
        <v>57.85</v>
      </c>
      <c r="I11" s="307">
        <f>HLOOKUP($A11,'Single Family 2018'!$C$6:$N$79,I$5,FALSE)</f>
        <v>72.099999999999994</v>
      </c>
      <c r="J11" s="307">
        <f>HLOOKUP($A11,'Single Family 2018'!$C$6:$N$79,J$5,FALSE)</f>
        <v>72.099999999999994</v>
      </c>
      <c r="K11" s="307">
        <f>HLOOKUP($A11,'Single Family 2018'!$C$6:$N$79,K$5,FALSE)</f>
        <v>110.68</v>
      </c>
      <c r="L11" s="311">
        <f>HLOOKUP($A11,'Single Family 2018'!$C$6:$N$79,L$5,FALSE)</f>
        <v>-134.59</v>
      </c>
      <c r="M11" s="306"/>
    </row>
    <row r="12" spans="1:13" x14ac:dyDescent="0.2">
      <c r="A12" s="313">
        <f>+'Commodity Tonnages 2018'!A12</f>
        <v>43039</v>
      </c>
      <c r="B12" s="305"/>
      <c r="C12" s="307">
        <f>HLOOKUP($A12,'Single Family 2018'!$C$6:$N$79,C$5,FALSE)</f>
        <v>980.71</v>
      </c>
      <c r="D12" s="311">
        <f>HLOOKUP($A12,'Single Family 2018'!$C$6:$N$79,D$5,FALSE)</f>
        <v>-8.7799999999999994</v>
      </c>
      <c r="E12" s="311">
        <f>HLOOKUP($A12,'Single Family 2018'!$C$6:$N$79,E$5,FALSE)</f>
        <v>0</v>
      </c>
      <c r="F12" s="307">
        <f>HLOOKUP($A12,'Single Family 2018'!$C$6:$N$79,F$5,FALSE)</f>
        <v>76.06</v>
      </c>
      <c r="G12" s="307">
        <f>HLOOKUP($A12,'Single Family 2018'!$C$6:$N$79,G$5,FALSE)</f>
        <v>60.33</v>
      </c>
      <c r="H12" s="307">
        <f>HLOOKUP($A12,'Single Family 2018'!$C$6:$N$79,H$5,FALSE)</f>
        <v>55.22</v>
      </c>
      <c r="I12" s="307">
        <f>HLOOKUP($A12,'Single Family 2018'!$C$6:$N$79,I$5,FALSE)</f>
        <v>48.29</v>
      </c>
      <c r="J12" s="307">
        <f>HLOOKUP($A12,'Single Family 2018'!$C$6:$N$79,J$5,FALSE)</f>
        <v>48.29</v>
      </c>
      <c r="K12" s="307">
        <f>HLOOKUP($A12,'Single Family 2018'!$C$6:$N$79,K$5,FALSE)</f>
        <v>81.77</v>
      </c>
      <c r="L12" s="311">
        <f>HLOOKUP($A12,'Single Family 2018'!$C$6:$N$79,L$5,FALSE)</f>
        <v>-134.59</v>
      </c>
      <c r="M12" s="306"/>
    </row>
    <row r="13" spans="1:13" x14ac:dyDescent="0.2">
      <c r="A13" s="313">
        <f>+'Commodity Tonnages 2018'!A13</f>
        <v>43069</v>
      </c>
      <c r="B13" s="305"/>
      <c r="C13" s="307">
        <f>HLOOKUP($A13,'Single Family 2018'!$C$6:$N$79,C$5,FALSE)</f>
        <v>971.66</v>
      </c>
      <c r="D13" s="311">
        <f>HLOOKUP($A13,'Single Family 2018'!$C$6:$N$79,D$5,FALSE)</f>
        <v>-2.5099999999999998</v>
      </c>
      <c r="E13" s="311">
        <f>HLOOKUP($A13,'Single Family 2018'!$C$6:$N$79,E$5,FALSE)</f>
        <v>0</v>
      </c>
      <c r="F13" s="307">
        <f>HLOOKUP($A13,'Single Family 2018'!$C$6:$N$79,F$5,FALSE)</f>
        <v>78.08</v>
      </c>
      <c r="G13" s="307">
        <f>HLOOKUP($A13,'Single Family 2018'!$C$6:$N$79,G$5,FALSE)</f>
        <v>65.930000000000007</v>
      </c>
      <c r="H13" s="307">
        <f>HLOOKUP($A13,'Single Family 2018'!$C$6:$N$79,H$5,FALSE)</f>
        <v>52.85</v>
      </c>
      <c r="I13" s="307">
        <f>HLOOKUP($A13,'Single Family 2018'!$C$6:$N$79,I$5,FALSE)</f>
        <v>50.05</v>
      </c>
      <c r="J13" s="307">
        <f>HLOOKUP($A13,'Single Family 2018'!$C$6:$N$79,J$5,FALSE)</f>
        <v>50.05</v>
      </c>
      <c r="K13" s="307">
        <f>HLOOKUP($A13,'Single Family 2018'!$C$6:$N$79,K$5,FALSE)</f>
        <v>114.18</v>
      </c>
      <c r="L13" s="311">
        <f>HLOOKUP($A13,'Single Family 2018'!$C$6:$N$79,L$5,FALSE)</f>
        <v>-134.59</v>
      </c>
      <c r="M13" s="306"/>
    </row>
    <row r="14" spans="1:13" x14ac:dyDescent="0.2">
      <c r="A14" s="313">
        <f>+'Commodity Tonnages 2018'!A14</f>
        <v>43100</v>
      </c>
      <c r="B14" s="305"/>
      <c r="C14" s="307">
        <f>HLOOKUP($A14,'Single Family 2018'!$C$6:$N$79,C$5,FALSE)</f>
        <v>973.36</v>
      </c>
      <c r="D14" s="311">
        <f>HLOOKUP($A14,'Single Family 2018'!$C$6:$N$79,D$5,FALSE)</f>
        <v>-9.4600000000000009</v>
      </c>
      <c r="E14" s="311">
        <f>HLOOKUP($A14,'Single Family 2018'!$C$6:$N$79,E$5,FALSE)</f>
        <v>0</v>
      </c>
      <c r="F14" s="307">
        <f>HLOOKUP($A14,'Single Family 2018'!$C$6:$N$79,F$5,FALSE)</f>
        <v>88.61</v>
      </c>
      <c r="G14" s="307">
        <f>HLOOKUP($A14,'Single Family 2018'!$C$6:$N$79,G$5,FALSE)</f>
        <v>63.69</v>
      </c>
      <c r="H14" s="307">
        <f>HLOOKUP($A14,'Single Family 2018'!$C$6:$N$79,H$5,FALSE)</f>
        <v>49.88</v>
      </c>
      <c r="I14" s="307">
        <f>HLOOKUP($A14,'Single Family 2018'!$C$6:$N$79,I$5,FALSE)</f>
        <v>51.67</v>
      </c>
      <c r="J14" s="307">
        <f>HLOOKUP($A14,'Single Family 2018'!$C$6:$N$79,J$5,FALSE)</f>
        <v>51.67</v>
      </c>
      <c r="K14" s="307">
        <f>HLOOKUP($A14,'Single Family 2018'!$C$6:$N$79,K$5,FALSE)</f>
        <v>107.57</v>
      </c>
      <c r="L14" s="311">
        <f>HLOOKUP($A14,'Single Family 2018'!$C$6:$N$79,L$5,FALSE)</f>
        <v>-134.59</v>
      </c>
      <c r="M14" s="306"/>
    </row>
    <row r="15" spans="1:13" x14ac:dyDescent="0.2">
      <c r="A15" s="313">
        <f>+'Commodity Tonnages 2018'!A15</f>
        <v>43131</v>
      </c>
      <c r="B15" s="305"/>
      <c r="C15" s="307">
        <f>HLOOKUP($A15,'Single Family 2018'!$C$6:$N$79,C$5,FALSE)</f>
        <v>1013.02</v>
      </c>
      <c r="D15" s="311">
        <f>HLOOKUP($A15,'Single Family 2018'!$C$6:$N$79,D$5,FALSE)</f>
        <v>-9.98</v>
      </c>
      <c r="E15" s="311">
        <f>HLOOKUP($A15,'Single Family 2018'!$C$6:$N$79,E$5,FALSE)</f>
        <v>0</v>
      </c>
      <c r="F15" s="307">
        <f>HLOOKUP($A15,'Single Family 2018'!$C$6:$N$79,F$5,FALSE)</f>
        <v>102.96</v>
      </c>
      <c r="G15" s="307">
        <f>HLOOKUP($A15,'Single Family 2018'!$C$6:$N$79,G$5,FALSE)</f>
        <v>39.799999999999997</v>
      </c>
      <c r="H15" s="307">
        <f>HLOOKUP($A15,'Single Family 2018'!$C$6:$N$79,H$5,FALSE)</f>
        <v>40.17</v>
      </c>
      <c r="I15" s="307">
        <f>HLOOKUP($A15,'Single Family 2018'!$C$6:$N$79,I$5,FALSE)</f>
        <v>53.44</v>
      </c>
      <c r="J15" s="307">
        <f>HLOOKUP($A15,'Single Family 2018'!$C$6:$N$79,J$5,FALSE)</f>
        <v>53.44</v>
      </c>
      <c r="K15" s="307">
        <f>HLOOKUP($A15,'Single Family 2018'!$C$6:$N$79,K$5,FALSE)</f>
        <v>105.09</v>
      </c>
      <c r="L15" s="311">
        <f>HLOOKUP($A15,'Single Family 2018'!$C$6:$N$79,L$5,FALSE)</f>
        <v>-134.59</v>
      </c>
      <c r="M15" s="306"/>
    </row>
    <row r="16" spans="1:13" x14ac:dyDescent="0.2">
      <c r="A16" s="313">
        <f>+'Commodity Tonnages 2018'!A16</f>
        <v>43159</v>
      </c>
      <c r="B16" s="305"/>
      <c r="C16" s="307">
        <f>HLOOKUP($A16,'Single Family 2018'!$C$6:$N$79,C$5,FALSE)</f>
        <v>988.19</v>
      </c>
      <c r="D16" s="311">
        <f>HLOOKUP($A16,'Single Family 2018'!$C$6:$N$79,D$5,FALSE)</f>
        <v>-8.01</v>
      </c>
      <c r="E16" s="311">
        <f>HLOOKUP($A16,'Single Family 2018'!$C$6:$N$79,E$5,FALSE)</f>
        <v>0</v>
      </c>
      <c r="F16" s="307">
        <f>HLOOKUP($A16,'Single Family 2018'!$C$6:$N$79,F$5,FALSE)</f>
        <v>92.72</v>
      </c>
      <c r="G16" s="307">
        <f>HLOOKUP($A16,'Single Family 2018'!$C$6:$N$79,G$5,FALSE)</f>
        <v>-18.13</v>
      </c>
      <c r="H16" s="307">
        <f>HLOOKUP($A16,'Single Family 2018'!$C$6:$N$79,H$5,FALSE)</f>
        <v>-21.81</v>
      </c>
      <c r="I16" s="307">
        <f>HLOOKUP($A16,'Single Family 2018'!$C$6:$N$79,I$5,FALSE)</f>
        <v>85.33</v>
      </c>
      <c r="J16" s="307">
        <f>HLOOKUP($A16,'Single Family 2018'!$C$6:$N$79,J$5,FALSE)</f>
        <v>85.33</v>
      </c>
      <c r="K16" s="307">
        <f>HLOOKUP($A16,'Single Family 2018'!$C$6:$N$79,K$5,FALSE)</f>
        <v>62.76</v>
      </c>
      <c r="L16" s="311">
        <f>HLOOKUP($A16,'Single Family 2018'!$C$6:$N$79,L$5,FALSE)</f>
        <v>-134.59</v>
      </c>
      <c r="M16" s="306"/>
    </row>
    <row r="17" spans="1:14" x14ac:dyDescent="0.2">
      <c r="A17" s="313">
        <f>+'Commodity Tonnages 2018'!A17</f>
        <v>43190</v>
      </c>
      <c r="B17" s="305"/>
      <c r="C17" s="307">
        <f>HLOOKUP($A17,'Single Family 2018'!$C$6:$N$79,C$5,FALSE)</f>
        <v>977.91</v>
      </c>
      <c r="D17" s="311">
        <f>HLOOKUP($A17,'Single Family 2018'!$C$6:$N$79,D$5,FALSE)</f>
        <v>-9</v>
      </c>
      <c r="E17" s="311">
        <f>HLOOKUP($A17,'Single Family 2018'!$C$6:$N$79,E$5,FALSE)</f>
        <v>0</v>
      </c>
      <c r="F17" s="307">
        <f>HLOOKUP($A17,'Single Family 2018'!$C$6:$N$79,F$5,FALSE)</f>
        <v>106.7</v>
      </c>
      <c r="G17" s="307">
        <f>HLOOKUP($A17,'Single Family 2018'!$C$6:$N$79,G$5,FALSE)</f>
        <v>-16.23</v>
      </c>
      <c r="H17" s="307">
        <f>HLOOKUP($A17,'Single Family 2018'!$C$6:$N$79,H$5,FALSE)</f>
        <v>-21.39</v>
      </c>
      <c r="I17" s="307">
        <f>HLOOKUP($A17,'Single Family 2018'!$C$6:$N$79,I$5,FALSE)</f>
        <v>105.24</v>
      </c>
      <c r="J17" s="307">
        <f>HLOOKUP($A17,'Single Family 2018'!$C$6:$N$79,J$5,FALSE)</f>
        <v>105.24</v>
      </c>
      <c r="K17" s="307">
        <f>HLOOKUP($A17,'Single Family 2018'!$C$6:$N$79,K$5,FALSE)</f>
        <v>56.69</v>
      </c>
      <c r="L17" s="311">
        <f>HLOOKUP($A17,'Single Family 2018'!$C$6:$N$79,L$5,FALSE)</f>
        <v>-134.59</v>
      </c>
      <c r="M17" s="306"/>
    </row>
    <row r="18" spans="1:14" x14ac:dyDescent="0.2">
      <c r="A18" s="313">
        <f>+'Commodity Tonnages 2018'!A18</f>
        <v>43220</v>
      </c>
      <c r="B18" s="305"/>
      <c r="C18" s="307">
        <f>HLOOKUP($A18,'Single Family 2018'!$C$6:$N$79,C$5,FALSE)</f>
        <v>989.87</v>
      </c>
      <c r="D18" s="311">
        <f>HLOOKUP($A18,'Single Family 2018'!$C$6:$N$79,D$5,FALSE)</f>
        <v>-10.23</v>
      </c>
      <c r="E18" s="311">
        <f>HLOOKUP($A18,'Single Family 2018'!$C$6:$N$79,E$5,FALSE)</f>
        <v>0</v>
      </c>
      <c r="F18" s="307">
        <f>HLOOKUP($A18,'Single Family 2018'!$C$6:$N$79,F$5,FALSE)</f>
        <v>109.51</v>
      </c>
      <c r="G18" s="307">
        <f>HLOOKUP($A18,'Single Family 2018'!$C$6:$N$79,G$5,FALSE)</f>
        <v>0</v>
      </c>
      <c r="H18" s="307">
        <f>HLOOKUP($A18,'Single Family 2018'!$C$6:$N$79,H$5,FALSE)</f>
        <v>-20.59</v>
      </c>
      <c r="I18" s="307">
        <f>HLOOKUP($A18,'Single Family 2018'!$C$6:$N$79,I$5,FALSE)</f>
        <v>107.91</v>
      </c>
      <c r="J18" s="307">
        <f>HLOOKUP($A18,'Single Family 2018'!$C$6:$N$79,J$5,FALSE)</f>
        <v>107.91</v>
      </c>
      <c r="K18" s="307">
        <f>HLOOKUP($A18,'Single Family 2018'!$C$6:$N$79,K$5,FALSE)</f>
        <v>57.61</v>
      </c>
      <c r="L18" s="311">
        <f>HLOOKUP($A18,'Single Family 2018'!$C$6:$N$79,L$5,FALSE)</f>
        <v>-134.59</v>
      </c>
      <c r="M18" s="306"/>
    </row>
    <row r="19" spans="1:14" x14ac:dyDescent="0.2">
      <c r="A19" s="305"/>
      <c r="B19" s="305"/>
      <c r="C19" s="306"/>
      <c r="D19" s="306"/>
      <c r="E19" s="306"/>
      <c r="F19" s="306"/>
      <c r="G19" s="306"/>
      <c r="H19" s="306"/>
      <c r="I19" s="306"/>
      <c r="J19" s="306"/>
      <c r="K19" s="306"/>
      <c r="L19" s="305"/>
      <c r="M19" s="306"/>
    </row>
    <row r="20" spans="1:14" x14ac:dyDescent="0.2">
      <c r="A20" s="310"/>
      <c r="B20" s="305"/>
      <c r="C20" s="306"/>
      <c r="D20" s="306"/>
      <c r="E20" s="306"/>
      <c r="F20" s="306"/>
      <c r="G20" s="306"/>
      <c r="H20" s="306"/>
      <c r="I20" s="306"/>
      <c r="J20" s="306"/>
      <c r="K20" s="306"/>
      <c r="L20" s="306"/>
      <c r="M20" s="306"/>
      <c r="N20" s="306" t="s">
        <v>31</v>
      </c>
    </row>
    <row r="21" spans="1:14" x14ac:dyDescent="0.2">
      <c r="A21" s="305"/>
      <c r="B21" s="305"/>
      <c r="C21" s="305"/>
      <c r="D21" s="305"/>
      <c r="E21" s="305"/>
      <c r="F21" s="305"/>
      <c r="G21" s="305"/>
      <c r="H21" s="305"/>
      <c r="I21" s="305"/>
      <c r="J21" s="305"/>
      <c r="K21" s="305"/>
      <c r="L21" s="305"/>
      <c r="M21" s="306"/>
    </row>
    <row r="22" spans="1:14" x14ac:dyDescent="0.2">
      <c r="A22" s="305"/>
      <c r="B22" s="305"/>
      <c r="C22" s="305"/>
      <c r="D22" s="305"/>
      <c r="E22" s="305"/>
      <c r="F22" s="305"/>
      <c r="G22" s="305"/>
      <c r="H22" s="305"/>
      <c r="I22" s="305"/>
      <c r="J22" s="305"/>
      <c r="K22" s="305"/>
      <c r="L22" s="305"/>
      <c r="M22" s="306"/>
    </row>
    <row r="23" spans="1:14" x14ac:dyDescent="0.2">
      <c r="A23" s="305"/>
      <c r="B23" s="305"/>
      <c r="C23" s="305"/>
      <c r="D23" s="305"/>
      <c r="E23" s="305"/>
      <c r="F23" s="305"/>
      <c r="G23" s="305"/>
      <c r="H23" s="305"/>
      <c r="I23" s="305"/>
      <c r="J23" s="305"/>
      <c r="K23" s="305"/>
      <c r="L23" s="305"/>
      <c r="M23" s="306"/>
    </row>
    <row r="24" spans="1:14" x14ac:dyDescent="0.2">
      <c r="A24" s="305"/>
      <c r="B24" s="305"/>
      <c r="C24" s="305"/>
      <c r="D24" s="305"/>
      <c r="E24" s="305"/>
      <c r="F24" s="305"/>
      <c r="G24" s="305"/>
      <c r="H24" s="305"/>
      <c r="I24" s="305"/>
      <c r="J24" s="305"/>
      <c r="K24" s="305"/>
      <c r="L24" s="305"/>
      <c r="M24" s="306"/>
    </row>
    <row r="25" spans="1:14" x14ac:dyDescent="0.2">
      <c r="A25" s="305"/>
      <c r="B25" s="305"/>
      <c r="C25" s="305"/>
      <c r="D25" s="305"/>
      <c r="E25" s="305"/>
      <c r="F25" s="305"/>
      <c r="G25" s="305"/>
      <c r="H25" s="305"/>
      <c r="I25" s="305"/>
      <c r="J25" s="305"/>
      <c r="K25" s="305"/>
      <c r="L25" s="305"/>
      <c r="M25" s="306"/>
    </row>
    <row r="26" spans="1:14" x14ac:dyDescent="0.2">
      <c r="A26" s="305"/>
      <c r="B26" s="305"/>
      <c r="C26" s="305"/>
      <c r="D26" s="305"/>
      <c r="E26" s="305"/>
      <c r="F26" s="305"/>
      <c r="G26" s="305"/>
      <c r="H26" s="305"/>
      <c r="I26" s="305"/>
      <c r="J26" s="305"/>
      <c r="K26" s="305"/>
      <c r="L26" s="305"/>
      <c r="M26" s="306"/>
    </row>
    <row r="27" spans="1:14" x14ac:dyDescent="0.2">
      <c r="A27" s="305"/>
      <c r="B27" s="305"/>
      <c r="C27" s="305"/>
      <c r="D27" s="305"/>
      <c r="E27" s="305"/>
      <c r="F27" s="305"/>
      <c r="G27" s="305"/>
      <c r="H27" s="305"/>
      <c r="I27" s="305"/>
      <c r="J27" s="305"/>
      <c r="K27" s="305"/>
      <c r="L27" s="305"/>
      <c r="M27" s="306"/>
    </row>
    <row r="28" spans="1:14" x14ac:dyDescent="0.2">
      <c r="A28" s="305"/>
      <c r="B28" s="305"/>
      <c r="C28" s="305"/>
      <c r="D28" s="305"/>
      <c r="E28" s="305"/>
      <c r="F28" s="305"/>
      <c r="G28" s="305"/>
      <c r="H28" s="305"/>
      <c r="I28" s="305"/>
      <c r="J28" s="305"/>
      <c r="K28" s="305"/>
      <c r="L28" s="305"/>
      <c r="M28" s="306"/>
    </row>
    <row r="29" spans="1:14" x14ac:dyDescent="0.2">
      <c r="A29" s="305"/>
      <c r="B29" s="305"/>
      <c r="C29" s="305"/>
      <c r="D29" s="305"/>
      <c r="E29" s="305"/>
      <c r="F29" s="305"/>
      <c r="G29" s="305"/>
      <c r="H29" s="305"/>
      <c r="I29" s="305"/>
      <c r="J29" s="305"/>
      <c r="K29" s="305"/>
      <c r="L29" s="305"/>
      <c r="M29" s="306"/>
    </row>
    <row r="30" spans="1:14" x14ac:dyDescent="0.2">
      <c r="A30" s="305"/>
      <c r="B30" s="305"/>
      <c r="C30" s="305"/>
      <c r="D30" s="305"/>
      <c r="E30" s="305"/>
      <c r="F30" s="305"/>
      <c r="G30" s="305"/>
      <c r="H30" s="305"/>
      <c r="I30" s="305"/>
      <c r="J30" s="305"/>
      <c r="K30" s="305"/>
      <c r="L30" s="305"/>
      <c r="M30" s="306"/>
    </row>
    <row r="31" spans="1:14" x14ac:dyDescent="0.2">
      <c r="A31" s="305"/>
      <c r="B31" s="305"/>
      <c r="C31" s="305"/>
      <c r="D31" s="305"/>
      <c r="E31" s="305"/>
      <c r="F31" s="305"/>
      <c r="G31" s="305"/>
      <c r="H31" s="305"/>
      <c r="I31" s="305"/>
      <c r="J31" s="305"/>
      <c r="K31" s="305"/>
      <c r="L31" s="305"/>
      <c r="M31" s="305"/>
    </row>
    <row r="32" spans="1:14" x14ac:dyDescent="0.2">
      <c r="A32" s="305"/>
      <c r="B32" s="305"/>
      <c r="C32" s="305"/>
      <c r="D32" s="305"/>
      <c r="E32" s="305"/>
      <c r="F32" s="305"/>
      <c r="G32" s="305"/>
      <c r="H32" s="305"/>
      <c r="I32" s="305"/>
      <c r="J32" s="305"/>
      <c r="K32" s="305"/>
      <c r="L32" s="305"/>
      <c r="M32" s="305"/>
    </row>
    <row r="33" spans="1:13" x14ac:dyDescent="0.2">
      <c r="A33" s="305"/>
      <c r="B33" s="305"/>
      <c r="C33" s="305"/>
      <c r="D33" s="305"/>
      <c r="E33" s="305"/>
      <c r="F33" s="305"/>
      <c r="G33" s="305"/>
      <c r="H33" s="305"/>
      <c r="I33" s="305"/>
      <c r="J33" s="305"/>
      <c r="K33" s="305"/>
      <c r="L33" s="305"/>
      <c r="M33" s="305"/>
    </row>
    <row r="34" spans="1:13" x14ac:dyDescent="0.2">
      <c r="A34" s="305"/>
      <c r="B34" s="305"/>
      <c r="C34" s="305"/>
      <c r="D34" s="305"/>
      <c r="E34" s="305"/>
      <c r="F34" s="305"/>
      <c r="G34" s="305"/>
      <c r="H34" s="305"/>
      <c r="I34" s="305"/>
      <c r="J34" s="305"/>
      <c r="K34" s="305"/>
      <c r="L34" s="305"/>
      <c r="M34" s="305"/>
    </row>
    <row r="35" spans="1:13" x14ac:dyDescent="0.2">
      <c r="A35" s="305"/>
      <c r="B35" s="305"/>
      <c r="C35" s="305"/>
      <c r="D35" s="305"/>
      <c r="E35" s="305"/>
      <c r="F35" s="305"/>
      <c r="G35" s="305"/>
      <c r="H35" s="305"/>
      <c r="I35" s="305"/>
      <c r="J35" s="305"/>
      <c r="K35" s="305"/>
      <c r="L35" s="305"/>
      <c r="M35" s="305"/>
    </row>
    <row r="36" spans="1:13" x14ac:dyDescent="0.2">
      <c r="A36" s="305"/>
      <c r="B36" s="305"/>
      <c r="C36" s="305"/>
      <c r="D36" s="305"/>
      <c r="E36" s="305"/>
      <c r="F36" s="305"/>
      <c r="G36" s="305"/>
      <c r="H36" s="305"/>
      <c r="I36" s="305"/>
      <c r="J36" s="305"/>
      <c r="K36" s="305"/>
      <c r="L36" s="305"/>
      <c r="M36" s="305"/>
    </row>
    <row r="37" spans="1:13" x14ac:dyDescent="0.2">
      <c r="A37" s="305"/>
      <c r="B37" s="305"/>
      <c r="C37" s="305"/>
      <c r="D37" s="305"/>
      <c r="E37" s="305"/>
      <c r="F37" s="305"/>
      <c r="G37" s="305"/>
      <c r="H37" s="305"/>
      <c r="I37" s="305"/>
      <c r="J37" s="305"/>
      <c r="K37" s="305"/>
      <c r="L37" s="305"/>
      <c r="M37" s="305"/>
    </row>
    <row r="38" spans="1:13" x14ac:dyDescent="0.2">
      <c r="A38" s="305"/>
      <c r="B38" s="305"/>
      <c r="C38" s="305"/>
      <c r="D38" s="305"/>
      <c r="E38" s="305"/>
      <c r="F38" s="305"/>
      <c r="G38" s="305"/>
      <c r="H38" s="305"/>
      <c r="I38" s="305"/>
      <c r="J38" s="305"/>
      <c r="K38" s="305"/>
      <c r="L38" s="305"/>
      <c r="M38" s="305"/>
    </row>
    <row r="39" spans="1:13" x14ac:dyDescent="0.2">
      <c r="A39" s="305"/>
      <c r="B39" s="305"/>
      <c r="C39" s="305"/>
      <c r="D39" s="305"/>
      <c r="E39" s="305"/>
      <c r="F39" s="305"/>
      <c r="G39" s="305"/>
      <c r="H39" s="305"/>
      <c r="I39" s="305"/>
      <c r="J39" s="305"/>
      <c r="K39" s="305"/>
      <c r="L39" s="305"/>
      <c r="M39" s="305"/>
    </row>
    <row r="40" spans="1:13" x14ac:dyDescent="0.2">
      <c r="A40" s="305"/>
      <c r="B40" s="305"/>
      <c r="C40" s="305"/>
      <c r="D40" s="305"/>
      <c r="E40" s="305"/>
      <c r="F40" s="305"/>
      <c r="G40" s="305"/>
      <c r="H40" s="305"/>
      <c r="I40" s="305"/>
      <c r="J40" s="305"/>
      <c r="K40" s="305"/>
      <c r="L40" s="305"/>
      <c r="M40" s="305"/>
    </row>
    <row r="41" spans="1:13" x14ac:dyDescent="0.2">
      <c r="A41" s="305"/>
      <c r="B41" s="305"/>
      <c r="C41" s="305"/>
      <c r="D41" s="305"/>
      <c r="E41" s="305"/>
      <c r="F41" s="305"/>
      <c r="G41" s="305"/>
      <c r="H41" s="305"/>
      <c r="I41" s="305"/>
      <c r="J41" s="305"/>
      <c r="K41" s="305"/>
      <c r="L41" s="305"/>
      <c r="M41" s="305"/>
    </row>
    <row r="42" spans="1:13" x14ac:dyDescent="0.2">
      <c r="A42" s="305"/>
      <c r="B42" s="305"/>
      <c r="C42" s="305"/>
      <c r="D42" s="305"/>
      <c r="E42" s="305"/>
      <c r="F42" s="305"/>
      <c r="G42" s="305"/>
      <c r="H42" s="305"/>
      <c r="I42" s="305"/>
      <c r="J42" s="305"/>
      <c r="K42" s="305"/>
      <c r="L42" s="305"/>
      <c r="M42" s="305"/>
    </row>
    <row r="43" spans="1:13" x14ac:dyDescent="0.2">
      <c r="A43" s="305"/>
      <c r="B43" s="305"/>
      <c r="C43" s="305"/>
      <c r="D43" s="305"/>
      <c r="E43" s="305"/>
      <c r="F43" s="305"/>
      <c r="G43" s="305"/>
      <c r="H43" s="305"/>
      <c r="I43" s="305"/>
      <c r="J43" s="305"/>
      <c r="K43" s="305"/>
      <c r="L43" s="305"/>
      <c r="M43" s="305"/>
    </row>
    <row r="44" spans="1:13" x14ac:dyDescent="0.2">
      <c r="A44" s="305"/>
      <c r="B44" s="305"/>
      <c r="C44" s="305"/>
      <c r="D44" s="305"/>
      <c r="E44" s="305"/>
      <c r="F44" s="305"/>
      <c r="G44" s="305"/>
      <c r="H44" s="305"/>
      <c r="I44" s="305"/>
      <c r="J44" s="305"/>
      <c r="K44" s="305"/>
      <c r="L44" s="305"/>
      <c r="M44" s="305"/>
    </row>
    <row r="45" spans="1:13" x14ac:dyDescent="0.2">
      <c r="A45" s="305"/>
      <c r="B45" s="305"/>
      <c r="C45" s="305"/>
      <c r="D45" s="305"/>
      <c r="E45" s="305"/>
      <c r="F45" s="305"/>
      <c r="G45" s="305"/>
      <c r="H45" s="305"/>
      <c r="I45" s="305"/>
      <c r="J45" s="305"/>
      <c r="K45" s="305"/>
      <c r="L45" s="305"/>
      <c r="M45" s="305"/>
    </row>
    <row r="46" spans="1:13" x14ac:dyDescent="0.2">
      <c r="A46" s="305"/>
      <c r="B46" s="305"/>
      <c r="C46" s="305"/>
      <c r="D46" s="305"/>
      <c r="E46" s="305"/>
      <c r="F46" s="305"/>
      <c r="G46" s="305"/>
      <c r="H46" s="305"/>
      <c r="I46" s="305"/>
      <c r="J46" s="305"/>
      <c r="K46" s="305"/>
      <c r="L46" s="305"/>
      <c r="M46" s="305"/>
    </row>
    <row r="47" spans="1:13" x14ac:dyDescent="0.2">
      <c r="A47" s="305"/>
      <c r="B47" s="305"/>
      <c r="C47" s="305"/>
      <c r="D47" s="305"/>
      <c r="E47" s="305"/>
      <c r="F47" s="305"/>
      <c r="G47" s="305"/>
      <c r="H47" s="305"/>
      <c r="I47" s="305"/>
      <c r="J47" s="305"/>
      <c r="K47" s="305"/>
      <c r="L47" s="305"/>
      <c r="M47" s="305"/>
    </row>
    <row r="48" spans="1:13" x14ac:dyDescent="0.2">
      <c r="A48" s="305"/>
      <c r="B48" s="305"/>
      <c r="C48" s="305"/>
      <c r="D48" s="305"/>
      <c r="E48" s="305"/>
      <c r="F48" s="305"/>
      <c r="G48" s="305"/>
      <c r="H48" s="305"/>
      <c r="I48" s="305"/>
      <c r="J48" s="305"/>
      <c r="K48" s="305"/>
      <c r="L48" s="305"/>
      <c r="M48" s="305"/>
    </row>
    <row r="49" spans="1:13" x14ac:dyDescent="0.2">
      <c r="A49" s="305"/>
      <c r="B49" s="305"/>
      <c r="C49" s="305"/>
      <c r="D49" s="305"/>
      <c r="E49" s="305"/>
      <c r="F49" s="305"/>
      <c r="G49" s="305"/>
      <c r="H49" s="305"/>
      <c r="I49" s="305"/>
      <c r="J49" s="305"/>
      <c r="K49" s="305"/>
      <c r="L49" s="305"/>
      <c r="M49" s="305"/>
    </row>
    <row r="50" spans="1:13" x14ac:dyDescent="0.2">
      <c r="A50" s="305"/>
      <c r="B50" s="305"/>
      <c r="C50" s="305"/>
      <c r="D50" s="305"/>
      <c r="E50" s="305"/>
      <c r="F50" s="305"/>
      <c r="G50" s="305"/>
      <c r="H50" s="305"/>
      <c r="I50" s="305"/>
      <c r="J50" s="305"/>
      <c r="K50" s="305"/>
      <c r="L50" s="305"/>
      <c r="M50" s="305"/>
    </row>
    <row r="51" spans="1:13" x14ac:dyDescent="0.2">
      <c r="A51" s="305"/>
      <c r="B51" s="305"/>
      <c r="C51" s="305"/>
      <c r="D51" s="305"/>
      <c r="E51" s="305"/>
      <c r="F51" s="305"/>
      <c r="G51" s="305"/>
      <c r="H51" s="305"/>
      <c r="I51" s="305"/>
      <c r="J51" s="305"/>
      <c r="K51" s="305"/>
      <c r="L51" s="305"/>
      <c r="M51" s="305"/>
    </row>
    <row r="52" spans="1:13" x14ac:dyDescent="0.2">
      <c r="A52" s="305"/>
      <c r="B52" s="305"/>
      <c r="C52" s="305"/>
      <c r="D52" s="305"/>
      <c r="E52" s="305"/>
      <c r="F52" s="305"/>
      <c r="G52" s="305"/>
      <c r="H52" s="305"/>
      <c r="I52" s="305"/>
      <c r="J52" s="305"/>
      <c r="K52" s="305"/>
      <c r="L52" s="305"/>
      <c r="M52" s="305"/>
    </row>
    <row r="53" spans="1:13" x14ac:dyDescent="0.2">
      <c r="A53" s="305"/>
      <c r="B53" s="305"/>
      <c r="C53" s="305"/>
      <c r="D53" s="305"/>
      <c r="E53" s="305"/>
      <c r="F53" s="305"/>
      <c r="G53" s="305"/>
      <c r="H53" s="305"/>
      <c r="I53" s="305"/>
      <c r="J53" s="305"/>
      <c r="K53" s="305"/>
      <c r="L53" s="305"/>
      <c r="M53" s="305"/>
    </row>
    <row r="54" spans="1:13" x14ac:dyDescent="0.2">
      <c r="A54" s="305"/>
      <c r="B54" s="305"/>
      <c r="C54" s="305"/>
      <c r="D54" s="305"/>
      <c r="E54" s="305"/>
      <c r="F54" s="305"/>
      <c r="G54" s="305"/>
      <c r="H54" s="305"/>
      <c r="I54" s="305"/>
      <c r="J54" s="305"/>
      <c r="K54" s="305"/>
      <c r="L54" s="305"/>
      <c r="M54" s="305"/>
    </row>
    <row r="55" spans="1:13" x14ac:dyDescent="0.2">
      <c r="A55" s="305"/>
      <c r="B55" s="305"/>
      <c r="C55" s="305"/>
      <c r="D55" s="305"/>
      <c r="E55" s="305"/>
      <c r="F55" s="305"/>
      <c r="G55" s="305"/>
      <c r="H55" s="305"/>
      <c r="I55" s="305"/>
      <c r="J55" s="305"/>
      <c r="K55" s="305"/>
      <c r="L55" s="305"/>
      <c r="M55" s="305"/>
    </row>
    <row r="56" spans="1:13" x14ac:dyDescent="0.2">
      <c r="A56" s="305"/>
      <c r="B56" s="305"/>
      <c r="C56" s="305"/>
      <c r="D56" s="305"/>
      <c r="E56" s="305"/>
      <c r="F56" s="305"/>
      <c r="G56" s="305"/>
      <c r="H56" s="305"/>
      <c r="I56" s="305"/>
      <c r="J56" s="305"/>
      <c r="K56" s="305"/>
      <c r="L56" s="305"/>
      <c r="M56" s="305"/>
    </row>
    <row r="57" spans="1:13" x14ac:dyDescent="0.2">
      <c r="A57" s="305"/>
      <c r="B57" s="305"/>
      <c r="C57" s="305"/>
      <c r="D57" s="305"/>
      <c r="E57" s="305"/>
      <c r="F57" s="305"/>
      <c r="G57" s="305"/>
      <c r="H57" s="305"/>
      <c r="I57" s="305"/>
      <c r="J57" s="305"/>
      <c r="K57" s="305"/>
      <c r="L57" s="305"/>
      <c r="M57" s="305"/>
    </row>
    <row r="58" spans="1:13" x14ac:dyDescent="0.2">
      <c r="A58" s="305"/>
      <c r="B58" s="305"/>
      <c r="C58" s="305"/>
      <c r="D58" s="305"/>
      <c r="E58" s="305"/>
      <c r="F58" s="305"/>
      <c r="G58" s="305"/>
      <c r="H58" s="305"/>
      <c r="I58" s="305"/>
      <c r="J58" s="305"/>
      <c r="K58" s="305"/>
      <c r="L58" s="305"/>
      <c r="M58" s="305"/>
    </row>
    <row r="59" spans="1:13" x14ac:dyDescent="0.2">
      <c r="A59" s="305"/>
      <c r="B59" s="305"/>
      <c r="C59" s="305"/>
      <c r="D59" s="305"/>
      <c r="E59" s="305"/>
      <c r="F59" s="305"/>
      <c r="G59" s="305"/>
      <c r="H59" s="305"/>
      <c r="I59" s="305"/>
      <c r="J59" s="305"/>
      <c r="K59" s="305"/>
      <c r="L59" s="305"/>
      <c r="M59" s="305"/>
    </row>
    <row r="60" spans="1:13" x14ac:dyDescent="0.2">
      <c r="A60" s="305"/>
      <c r="B60" s="305"/>
      <c r="C60" s="305"/>
      <c r="D60" s="305"/>
      <c r="E60" s="305"/>
      <c r="F60" s="305"/>
      <c r="G60" s="305"/>
      <c r="H60" s="305"/>
      <c r="I60" s="305"/>
      <c r="J60" s="305"/>
      <c r="K60" s="305"/>
      <c r="L60" s="305"/>
      <c r="M60" s="305"/>
    </row>
    <row r="61" spans="1:13" x14ac:dyDescent="0.2">
      <c r="A61" s="305"/>
      <c r="B61" s="305"/>
      <c r="C61" s="305"/>
      <c r="D61" s="305"/>
      <c r="E61" s="305"/>
      <c r="F61" s="305"/>
      <c r="G61" s="305"/>
      <c r="H61" s="305"/>
      <c r="I61" s="305"/>
      <c r="J61" s="305"/>
      <c r="K61" s="305"/>
      <c r="L61" s="305"/>
      <c r="M61" s="305"/>
    </row>
    <row r="62" spans="1:13" x14ac:dyDescent="0.2">
      <c r="A62" s="305"/>
      <c r="B62" s="305"/>
      <c r="C62" s="305"/>
      <c r="D62" s="305"/>
      <c r="E62" s="305"/>
      <c r="F62" s="305"/>
      <c r="G62" s="305"/>
      <c r="H62" s="305"/>
      <c r="I62" s="305"/>
      <c r="J62" s="305"/>
      <c r="K62" s="305"/>
      <c r="L62" s="305"/>
      <c r="M62" s="305"/>
    </row>
    <row r="63" spans="1:13" x14ac:dyDescent="0.2">
      <c r="A63" s="305"/>
      <c r="B63" s="305"/>
      <c r="C63" s="305"/>
      <c r="D63" s="305"/>
      <c r="E63" s="305"/>
      <c r="F63" s="305"/>
      <c r="G63" s="305"/>
      <c r="H63" s="305"/>
      <c r="I63" s="305"/>
      <c r="J63" s="305"/>
      <c r="K63" s="305"/>
      <c r="L63" s="305"/>
      <c r="M63" s="305"/>
    </row>
    <row r="64" spans="1:13" x14ac:dyDescent="0.2">
      <c r="A64" s="305"/>
      <c r="B64" s="305"/>
      <c r="C64" s="305"/>
      <c r="D64" s="305"/>
      <c r="E64" s="305"/>
      <c r="F64" s="305"/>
      <c r="G64" s="305"/>
      <c r="H64" s="305"/>
      <c r="I64" s="305"/>
      <c r="J64" s="305"/>
      <c r="K64" s="305"/>
      <c r="L64" s="305"/>
      <c r="M64" s="305"/>
    </row>
    <row r="65" spans="1:13" x14ac:dyDescent="0.2">
      <c r="A65" s="305"/>
      <c r="B65" s="305"/>
      <c r="C65" s="305"/>
      <c r="D65" s="305"/>
      <c r="E65" s="305"/>
      <c r="F65" s="305"/>
      <c r="G65" s="305"/>
      <c r="H65" s="305"/>
      <c r="I65" s="305"/>
      <c r="J65" s="305"/>
      <c r="K65" s="305"/>
      <c r="L65" s="305"/>
      <c r="M65" s="305"/>
    </row>
    <row r="66" spans="1:13" x14ac:dyDescent="0.2">
      <c r="A66" s="305"/>
      <c r="B66" s="305"/>
      <c r="C66" s="305"/>
      <c r="D66" s="305"/>
      <c r="E66" s="305"/>
      <c r="F66" s="305"/>
      <c r="G66" s="305"/>
      <c r="H66" s="305"/>
      <c r="I66" s="305"/>
      <c r="J66" s="305"/>
      <c r="K66" s="305"/>
      <c r="L66" s="305"/>
      <c r="M66" s="305"/>
    </row>
    <row r="67" spans="1:13" x14ac:dyDescent="0.2">
      <c r="A67" s="305"/>
      <c r="B67" s="305"/>
      <c r="C67" s="305"/>
      <c r="D67" s="305"/>
      <c r="E67" s="305"/>
      <c r="F67" s="305"/>
      <c r="G67" s="305"/>
      <c r="H67" s="305"/>
      <c r="I67" s="305"/>
      <c r="J67" s="305"/>
      <c r="K67" s="305"/>
      <c r="L67" s="305"/>
      <c r="M67" s="305"/>
    </row>
    <row r="68" spans="1:13" x14ac:dyDescent="0.2">
      <c r="A68" s="305"/>
      <c r="B68" s="305"/>
      <c r="C68" s="305"/>
      <c r="D68" s="305"/>
      <c r="E68" s="305"/>
      <c r="F68" s="305"/>
      <c r="G68" s="305"/>
      <c r="H68" s="305"/>
      <c r="I68" s="305"/>
      <c r="J68" s="305"/>
      <c r="K68" s="305"/>
      <c r="L68" s="305"/>
      <c r="M68" s="305"/>
    </row>
    <row r="69" spans="1:13" x14ac:dyDescent="0.2">
      <c r="A69" s="305"/>
      <c r="B69" s="305"/>
      <c r="C69" s="305"/>
      <c r="D69" s="305"/>
      <c r="E69" s="305"/>
      <c r="F69" s="305"/>
      <c r="G69" s="305"/>
      <c r="H69" s="305"/>
      <c r="I69" s="305"/>
      <c r="J69" s="305"/>
      <c r="K69" s="305"/>
      <c r="L69" s="305"/>
      <c r="M69" s="305"/>
    </row>
    <row r="70" spans="1:13" x14ac:dyDescent="0.2">
      <c r="A70" s="305"/>
      <c r="B70" s="305"/>
      <c r="C70" s="305"/>
      <c r="D70" s="305"/>
      <c r="E70" s="305"/>
      <c r="F70" s="305"/>
      <c r="G70" s="305"/>
      <c r="H70" s="305"/>
      <c r="I70" s="305"/>
      <c r="J70" s="305"/>
      <c r="K70" s="305"/>
      <c r="L70" s="305"/>
      <c r="M70" s="305"/>
    </row>
    <row r="71" spans="1:13" x14ac:dyDescent="0.2">
      <c r="A71" s="305"/>
      <c r="B71" s="305"/>
      <c r="C71" s="305"/>
      <c r="D71" s="305"/>
      <c r="E71" s="305"/>
      <c r="F71" s="305"/>
      <c r="G71" s="305"/>
      <c r="H71" s="305"/>
      <c r="I71" s="305"/>
      <c r="J71" s="305"/>
      <c r="K71" s="305"/>
      <c r="L71" s="305"/>
      <c r="M71" s="305"/>
    </row>
    <row r="72" spans="1:13" x14ac:dyDescent="0.2">
      <c r="A72" s="305"/>
      <c r="B72" s="305"/>
      <c r="C72" s="305"/>
      <c r="D72" s="305"/>
      <c r="E72" s="305"/>
      <c r="F72" s="305"/>
      <c r="G72" s="305"/>
      <c r="H72" s="305"/>
      <c r="I72" s="305"/>
      <c r="J72" s="305"/>
      <c r="K72" s="305"/>
      <c r="L72" s="305"/>
      <c r="M72" s="305"/>
    </row>
    <row r="73" spans="1:13" x14ac:dyDescent="0.2">
      <c r="A73" s="305"/>
      <c r="B73" s="305"/>
      <c r="C73" s="305"/>
      <c r="D73" s="305"/>
      <c r="E73" s="305"/>
      <c r="F73" s="305"/>
      <c r="G73" s="305"/>
      <c r="H73" s="305"/>
      <c r="I73" s="305"/>
      <c r="J73" s="305"/>
      <c r="K73" s="305"/>
      <c r="L73" s="305"/>
      <c r="M73" s="305"/>
    </row>
    <row r="74" spans="1:13" x14ac:dyDescent="0.2">
      <c r="A74" s="305"/>
      <c r="B74" s="305"/>
      <c r="C74" s="305"/>
      <c r="D74" s="305"/>
      <c r="E74" s="305"/>
      <c r="F74" s="305"/>
      <c r="G74" s="305"/>
      <c r="H74" s="305"/>
      <c r="I74" s="305"/>
      <c r="J74" s="305"/>
      <c r="K74" s="305"/>
      <c r="L74" s="305"/>
      <c r="M74" s="305"/>
    </row>
    <row r="75" spans="1:13" x14ac:dyDescent="0.2">
      <c r="A75" s="305"/>
      <c r="B75" s="305"/>
      <c r="C75" s="305"/>
      <c r="D75" s="305"/>
      <c r="E75" s="305"/>
      <c r="F75" s="305"/>
      <c r="G75" s="305"/>
      <c r="H75" s="305"/>
      <c r="I75" s="305"/>
      <c r="J75" s="305"/>
      <c r="K75" s="305"/>
      <c r="L75" s="305"/>
      <c r="M75" s="305"/>
    </row>
    <row r="76" spans="1:13" x14ac:dyDescent="0.2">
      <c r="A76" s="305"/>
      <c r="B76" s="305"/>
      <c r="C76" s="305"/>
      <c r="D76" s="305"/>
      <c r="E76" s="305"/>
      <c r="F76" s="305"/>
      <c r="G76" s="305"/>
      <c r="H76" s="305"/>
      <c r="I76" s="305"/>
      <c r="J76" s="305"/>
      <c r="K76" s="305"/>
      <c r="L76" s="305"/>
      <c r="M76" s="305"/>
    </row>
    <row r="77" spans="1:13" x14ac:dyDescent="0.2">
      <c r="A77" s="305"/>
      <c r="B77" s="305"/>
      <c r="C77" s="305"/>
      <c r="D77" s="305"/>
      <c r="E77" s="305"/>
      <c r="F77" s="305"/>
      <c r="G77" s="305"/>
      <c r="H77" s="305"/>
      <c r="I77" s="305"/>
      <c r="J77" s="305"/>
      <c r="K77" s="305"/>
      <c r="L77" s="305"/>
      <c r="M77" s="305"/>
    </row>
    <row r="78" spans="1:13" x14ac:dyDescent="0.2">
      <c r="A78" s="305"/>
      <c r="B78" s="305"/>
      <c r="C78" s="305"/>
      <c r="D78" s="305"/>
      <c r="E78" s="305"/>
      <c r="F78" s="305"/>
      <c r="G78" s="305"/>
      <c r="H78" s="305"/>
      <c r="I78" s="305"/>
      <c r="J78" s="305"/>
      <c r="K78" s="305"/>
      <c r="L78" s="305"/>
      <c r="M78" s="305"/>
    </row>
    <row r="79" spans="1:13" x14ac:dyDescent="0.2">
      <c r="A79" s="305"/>
      <c r="B79" s="305"/>
      <c r="C79" s="305"/>
      <c r="D79" s="305"/>
      <c r="E79" s="305"/>
      <c r="F79" s="305"/>
      <c r="G79" s="305"/>
      <c r="H79" s="305"/>
      <c r="I79" s="305"/>
      <c r="J79" s="305"/>
      <c r="K79" s="305"/>
      <c r="L79" s="305"/>
      <c r="M79" s="305"/>
    </row>
    <row r="80" spans="1:13" x14ac:dyDescent="0.2">
      <c r="A80" s="305"/>
      <c r="B80" s="305"/>
      <c r="C80" s="305"/>
      <c r="D80" s="305"/>
      <c r="E80" s="305"/>
      <c r="F80" s="305"/>
      <c r="G80" s="305"/>
      <c r="H80" s="305"/>
      <c r="I80" s="305"/>
      <c r="J80" s="305"/>
      <c r="K80" s="305"/>
      <c r="L80" s="305"/>
      <c r="M80" s="305"/>
    </row>
    <row r="81" spans="1:13" x14ac:dyDescent="0.2">
      <c r="A81" s="305"/>
      <c r="B81" s="305"/>
      <c r="C81" s="305"/>
      <c r="D81" s="305"/>
      <c r="E81" s="305"/>
      <c r="F81" s="305"/>
      <c r="G81" s="305"/>
      <c r="H81" s="305"/>
      <c r="I81" s="305"/>
      <c r="J81" s="305"/>
      <c r="K81" s="305"/>
      <c r="L81" s="305"/>
      <c r="M81" s="305"/>
    </row>
    <row r="82" spans="1:13" x14ac:dyDescent="0.2">
      <c r="A82" s="305"/>
      <c r="B82" s="305"/>
      <c r="C82" s="305"/>
      <c r="D82" s="305"/>
      <c r="E82" s="305"/>
      <c r="F82" s="305"/>
      <c r="G82" s="305"/>
      <c r="H82" s="305"/>
      <c r="I82" s="305"/>
      <c r="J82" s="305"/>
      <c r="K82" s="305"/>
      <c r="L82" s="305"/>
      <c r="M82" s="305"/>
    </row>
    <row r="83" spans="1:13" x14ac:dyDescent="0.2">
      <c r="A83" s="305"/>
      <c r="B83" s="305"/>
      <c r="C83" s="305"/>
      <c r="D83" s="305"/>
      <c r="E83" s="305"/>
      <c r="F83" s="305"/>
      <c r="G83" s="305"/>
      <c r="H83" s="305"/>
      <c r="I83" s="305"/>
      <c r="J83" s="305"/>
      <c r="K83" s="305"/>
      <c r="L83" s="305"/>
      <c r="M83" s="305"/>
    </row>
    <row r="84" spans="1:13" x14ac:dyDescent="0.2">
      <c r="A84" s="305"/>
      <c r="B84" s="305"/>
      <c r="C84" s="305"/>
      <c r="D84" s="305"/>
      <c r="E84" s="305"/>
      <c r="F84" s="305"/>
      <c r="G84" s="305"/>
      <c r="H84" s="305"/>
      <c r="I84" s="305"/>
      <c r="J84" s="305"/>
      <c r="K84" s="305"/>
      <c r="L84" s="305"/>
      <c r="M84" s="305"/>
    </row>
    <row r="85" spans="1:13" x14ac:dyDescent="0.2">
      <c r="A85" s="305"/>
      <c r="B85" s="305"/>
      <c r="C85" s="305"/>
      <c r="D85" s="305"/>
      <c r="E85" s="305"/>
      <c r="F85" s="305"/>
      <c r="G85" s="305"/>
      <c r="H85" s="305"/>
      <c r="I85" s="305"/>
      <c r="J85" s="305"/>
      <c r="K85" s="305"/>
      <c r="L85" s="305"/>
      <c r="M85" s="305"/>
    </row>
    <row r="86" spans="1:13" x14ac:dyDescent="0.2">
      <c r="A86" s="305"/>
      <c r="B86" s="305"/>
      <c r="C86" s="305"/>
      <c r="D86" s="305"/>
      <c r="E86" s="305"/>
      <c r="F86" s="305"/>
      <c r="G86" s="305"/>
      <c r="H86" s="305"/>
      <c r="I86" s="305"/>
      <c r="J86" s="305"/>
      <c r="K86" s="305"/>
      <c r="L86" s="305"/>
      <c r="M86" s="305"/>
    </row>
    <row r="87" spans="1:13" x14ac:dyDescent="0.2">
      <c r="A87" s="305"/>
      <c r="B87" s="305"/>
      <c r="C87" s="305"/>
      <c r="D87" s="305"/>
      <c r="E87" s="305"/>
      <c r="F87" s="305"/>
      <c r="G87" s="305"/>
      <c r="H87" s="305"/>
      <c r="I87" s="305"/>
      <c r="J87" s="305"/>
      <c r="K87" s="305"/>
      <c r="L87" s="305"/>
      <c r="M87" s="305"/>
    </row>
    <row r="88" spans="1:13" x14ac:dyDescent="0.2">
      <c r="A88" s="305"/>
      <c r="B88" s="305"/>
      <c r="C88" s="305"/>
      <c r="D88" s="305"/>
      <c r="E88" s="305"/>
      <c r="F88" s="305"/>
      <c r="G88" s="305"/>
      <c r="H88" s="305"/>
      <c r="I88" s="305"/>
      <c r="J88" s="305"/>
      <c r="K88" s="305"/>
      <c r="L88" s="305"/>
      <c r="M88" s="305"/>
    </row>
    <row r="89" spans="1:13" x14ac:dyDescent="0.2">
      <c r="A89" s="305"/>
      <c r="B89" s="305"/>
      <c r="C89" s="305"/>
      <c r="D89" s="305"/>
      <c r="E89" s="305"/>
      <c r="F89" s="305"/>
      <c r="G89" s="305"/>
      <c r="H89" s="305"/>
      <c r="I89" s="305"/>
      <c r="J89" s="305"/>
      <c r="K89" s="305"/>
      <c r="L89" s="305"/>
      <c r="M89" s="305"/>
    </row>
    <row r="90" spans="1:13" x14ac:dyDescent="0.2">
      <c r="A90" s="305"/>
      <c r="B90" s="305"/>
      <c r="C90" s="305"/>
      <c r="D90" s="305"/>
      <c r="E90" s="305"/>
      <c r="F90" s="305"/>
      <c r="G90" s="305"/>
      <c r="H90" s="305"/>
      <c r="I90" s="305"/>
      <c r="J90" s="305"/>
      <c r="K90" s="305"/>
      <c r="L90" s="305"/>
      <c r="M90" s="305"/>
    </row>
    <row r="91" spans="1:13" x14ac:dyDescent="0.2">
      <c r="A91" s="305"/>
      <c r="B91" s="305"/>
      <c r="C91" s="305"/>
      <c r="D91" s="305"/>
      <c r="E91" s="305"/>
      <c r="F91" s="305"/>
      <c r="G91" s="305"/>
      <c r="H91" s="305"/>
      <c r="I91" s="305"/>
      <c r="J91" s="305"/>
      <c r="K91" s="305"/>
      <c r="L91" s="305"/>
      <c r="M91" s="305"/>
    </row>
    <row r="92" spans="1:13" x14ac:dyDescent="0.2">
      <c r="A92" s="305"/>
      <c r="B92" s="305"/>
      <c r="C92" s="305"/>
      <c r="D92" s="305"/>
      <c r="E92" s="305"/>
      <c r="F92" s="305"/>
      <c r="G92" s="305"/>
      <c r="H92" s="305"/>
      <c r="I92" s="305"/>
      <c r="J92" s="305"/>
      <c r="K92" s="305"/>
      <c r="L92" s="305"/>
      <c r="M92" s="305"/>
    </row>
    <row r="93" spans="1:13" x14ac:dyDescent="0.2">
      <c r="A93" s="305"/>
      <c r="B93" s="305"/>
      <c r="C93" s="305"/>
      <c r="D93" s="305"/>
      <c r="E93" s="305"/>
      <c r="F93" s="305"/>
      <c r="G93" s="305"/>
      <c r="H93" s="305"/>
      <c r="I93" s="305"/>
      <c r="J93" s="305"/>
      <c r="K93" s="305"/>
      <c r="L93" s="305"/>
      <c r="M93" s="305"/>
    </row>
    <row r="94" spans="1:13" x14ac:dyDescent="0.2">
      <c r="A94" s="305"/>
      <c r="B94" s="305"/>
      <c r="C94" s="305"/>
      <c r="D94" s="305"/>
      <c r="E94" s="305"/>
      <c r="F94" s="305"/>
      <c r="G94" s="305"/>
      <c r="H94" s="305"/>
      <c r="I94" s="305"/>
      <c r="J94" s="305"/>
      <c r="K94" s="305"/>
      <c r="L94" s="305"/>
      <c r="M94" s="305"/>
    </row>
    <row r="95" spans="1:13" x14ac:dyDescent="0.2">
      <c r="A95" s="305"/>
      <c r="B95" s="305"/>
      <c r="C95" s="305"/>
      <c r="D95" s="305"/>
      <c r="E95" s="305"/>
      <c r="F95" s="305"/>
      <c r="G95" s="305"/>
      <c r="H95" s="305"/>
      <c r="I95" s="305"/>
      <c r="J95" s="305"/>
      <c r="K95" s="305"/>
      <c r="L95" s="305"/>
      <c r="M95" s="305"/>
    </row>
    <row r="96" spans="1:13" x14ac:dyDescent="0.2">
      <c r="A96" s="305"/>
      <c r="B96" s="305"/>
      <c r="C96" s="305"/>
      <c r="D96" s="305"/>
      <c r="E96" s="305"/>
      <c r="F96" s="305"/>
      <c r="G96" s="305"/>
      <c r="H96" s="305"/>
      <c r="I96" s="305"/>
      <c r="J96" s="305"/>
      <c r="K96" s="305"/>
      <c r="L96" s="305"/>
      <c r="M96" s="305"/>
    </row>
    <row r="97" spans="1:13" x14ac:dyDescent="0.2">
      <c r="A97" s="305"/>
      <c r="B97" s="305"/>
      <c r="C97" s="305"/>
      <c r="D97" s="305"/>
      <c r="E97" s="305"/>
      <c r="F97" s="305"/>
      <c r="G97" s="305"/>
      <c r="H97" s="305"/>
      <c r="I97" s="305"/>
      <c r="J97" s="305"/>
      <c r="K97" s="305"/>
      <c r="L97" s="305"/>
      <c r="M97" s="305"/>
    </row>
    <row r="98" spans="1:13" x14ac:dyDescent="0.2">
      <c r="A98" s="305"/>
      <c r="B98" s="305"/>
      <c r="C98" s="305"/>
      <c r="D98" s="305"/>
      <c r="E98" s="305"/>
      <c r="F98" s="305"/>
      <c r="G98" s="305"/>
      <c r="H98" s="305"/>
      <c r="I98" s="305"/>
      <c r="J98" s="305"/>
      <c r="K98" s="305"/>
      <c r="L98" s="305"/>
      <c r="M98" s="305"/>
    </row>
    <row r="99" spans="1:13" x14ac:dyDescent="0.2">
      <c r="A99" s="305"/>
      <c r="B99" s="305"/>
      <c r="C99" s="305"/>
      <c r="D99" s="305"/>
      <c r="E99" s="305"/>
      <c r="F99" s="305"/>
      <c r="G99" s="305"/>
      <c r="H99" s="305"/>
      <c r="I99" s="305"/>
      <c r="J99" s="305"/>
      <c r="K99" s="305"/>
      <c r="L99" s="305"/>
      <c r="M99" s="305"/>
    </row>
    <row r="100" spans="1:13" x14ac:dyDescent="0.2">
      <c r="A100" s="305"/>
      <c r="B100" s="305"/>
      <c r="C100" s="305"/>
      <c r="D100" s="305"/>
      <c r="E100" s="305"/>
      <c r="F100" s="305"/>
      <c r="G100" s="305"/>
      <c r="H100" s="305"/>
      <c r="I100" s="305"/>
      <c r="J100" s="305"/>
      <c r="K100" s="305"/>
      <c r="L100" s="305"/>
      <c r="M100" s="305"/>
    </row>
    <row r="101" spans="1:13" x14ac:dyDescent="0.2">
      <c r="A101" s="305"/>
      <c r="B101" s="305"/>
      <c r="C101" s="305"/>
      <c r="D101" s="305"/>
      <c r="E101" s="305"/>
      <c r="F101" s="305"/>
      <c r="G101" s="305"/>
      <c r="H101" s="305"/>
      <c r="I101" s="305"/>
      <c r="J101" s="305"/>
      <c r="K101" s="305"/>
      <c r="L101" s="305"/>
      <c r="M101" s="305"/>
    </row>
    <row r="102" spans="1:13" x14ac:dyDescent="0.2">
      <c r="A102" s="305"/>
      <c r="B102" s="305"/>
      <c r="C102" s="305"/>
      <c r="D102" s="305"/>
      <c r="E102" s="305"/>
      <c r="F102" s="305"/>
      <c r="G102" s="305"/>
      <c r="H102" s="305"/>
      <c r="I102" s="305"/>
      <c r="J102" s="305"/>
      <c r="K102" s="305"/>
      <c r="L102" s="305"/>
      <c r="M102" s="305"/>
    </row>
    <row r="103" spans="1:13" x14ac:dyDescent="0.2">
      <c r="A103" s="305"/>
      <c r="B103" s="305"/>
      <c r="C103" s="305"/>
      <c r="D103" s="305"/>
      <c r="E103" s="305"/>
      <c r="F103" s="305"/>
      <c r="G103" s="305"/>
      <c r="H103" s="305"/>
      <c r="I103" s="305"/>
      <c r="J103" s="305"/>
      <c r="K103" s="305"/>
      <c r="L103" s="305"/>
      <c r="M103" s="305"/>
    </row>
    <row r="104" spans="1:13" x14ac:dyDescent="0.2">
      <c r="A104" s="305"/>
      <c r="B104" s="305"/>
      <c r="C104" s="305"/>
      <c r="D104" s="305"/>
      <c r="E104" s="305"/>
      <c r="F104" s="305"/>
      <c r="G104" s="305"/>
      <c r="H104" s="305"/>
      <c r="I104" s="305"/>
      <c r="J104" s="305"/>
      <c r="K104" s="305"/>
      <c r="L104" s="305"/>
      <c r="M104" s="305"/>
    </row>
    <row r="105" spans="1:13" x14ac:dyDescent="0.2">
      <c r="A105" s="305"/>
      <c r="B105" s="305"/>
      <c r="C105" s="305"/>
      <c r="D105" s="305"/>
      <c r="E105" s="305"/>
      <c r="F105" s="305"/>
      <c r="G105" s="305"/>
      <c r="H105" s="305"/>
      <c r="I105" s="305"/>
      <c r="J105" s="305"/>
      <c r="K105" s="305"/>
      <c r="L105" s="305"/>
      <c r="M105" s="305"/>
    </row>
    <row r="106" spans="1:13" x14ac:dyDescent="0.2">
      <c r="A106" s="305"/>
      <c r="B106" s="305"/>
      <c r="C106" s="305"/>
      <c r="D106" s="305"/>
      <c r="E106" s="305"/>
      <c r="F106" s="305"/>
      <c r="G106" s="305"/>
      <c r="H106" s="305"/>
      <c r="I106" s="305"/>
      <c r="J106" s="305"/>
      <c r="K106" s="305"/>
      <c r="L106" s="305"/>
      <c r="M106" s="305"/>
    </row>
    <row r="107" spans="1:13" x14ac:dyDescent="0.2">
      <c r="A107" s="305"/>
      <c r="B107" s="305"/>
      <c r="C107" s="305"/>
      <c r="D107" s="305"/>
      <c r="E107" s="305"/>
      <c r="F107" s="305"/>
      <c r="G107" s="305"/>
      <c r="H107" s="305"/>
      <c r="I107" s="305"/>
      <c r="J107" s="305"/>
      <c r="K107" s="305"/>
      <c r="L107" s="305"/>
      <c r="M107" s="305"/>
    </row>
    <row r="108" spans="1:13" x14ac:dyDescent="0.2">
      <c r="A108" s="305"/>
      <c r="B108" s="305"/>
      <c r="C108" s="305"/>
      <c r="D108" s="305"/>
      <c r="E108" s="305"/>
      <c r="F108" s="305"/>
      <c r="G108" s="305"/>
      <c r="H108" s="305"/>
      <c r="I108" s="305"/>
      <c r="J108" s="305"/>
      <c r="K108" s="305"/>
      <c r="L108" s="305"/>
      <c r="M108" s="305"/>
    </row>
    <row r="109" spans="1:13" x14ac:dyDescent="0.2">
      <c r="A109" s="305"/>
      <c r="B109" s="305"/>
      <c r="C109" s="305"/>
      <c r="D109" s="305"/>
      <c r="E109" s="305"/>
      <c r="F109" s="305"/>
      <c r="G109" s="305"/>
      <c r="H109" s="305"/>
      <c r="I109" s="305"/>
      <c r="J109" s="305"/>
      <c r="K109" s="305"/>
      <c r="L109" s="305"/>
      <c r="M109" s="305"/>
    </row>
    <row r="110" spans="1:13" x14ac:dyDescent="0.2">
      <c r="A110" s="305"/>
      <c r="B110" s="305"/>
      <c r="C110" s="305"/>
      <c r="D110" s="305"/>
      <c r="E110" s="305"/>
      <c r="F110" s="305"/>
      <c r="G110" s="305"/>
      <c r="H110" s="305"/>
      <c r="I110" s="305"/>
      <c r="J110" s="305"/>
      <c r="K110" s="305"/>
      <c r="L110" s="305"/>
      <c r="M110" s="305"/>
    </row>
    <row r="111" spans="1:13" x14ac:dyDescent="0.2">
      <c r="A111" s="305"/>
      <c r="B111" s="305"/>
      <c r="C111" s="305"/>
      <c r="D111" s="305"/>
      <c r="E111" s="305"/>
      <c r="F111" s="305"/>
      <c r="G111" s="305"/>
      <c r="H111" s="305"/>
      <c r="I111" s="305"/>
      <c r="J111" s="305"/>
      <c r="K111" s="305"/>
      <c r="L111" s="305"/>
      <c r="M111" s="305"/>
    </row>
    <row r="112" spans="1:13" x14ac:dyDescent="0.2">
      <c r="A112" s="305"/>
      <c r="B112" s="305"/>
      <c r="C112" s="305"/>
      <c r="D112" s="305"/>
      <c r="E112" s="305"/>
      <c r="F112" s="305"/>
      <c r="G112" s="305"/>
      <c r="H112" s="305"/>
      <c r="I112" s="305"/>
      <c r="J112" s="305"/>
      <c r="K112" s="305"/>
      <c r="L112" s="305"/>
      <c r="M112" s="305"/>
    </row>
    <row r="113" spans="1:13" x14ac:dyDescent="0.2">
      <c r="A113" s="305"/>
      <c r="B113" s="305"/>
      <c r="C113" s="305"/>
      <c r="D113" s="305"/>
      <c r="E113" s="305"/>
      <c r="F113" s="305"/>
      <c r="G113" s="305"/>
      <c r="H113" s="305"/>
      <c r="I113" s="305"/>
      <c r="J113" s="305"/>
      <c r="K113" s="305"/>
      <c r="L113" s="305"/>
      <c r="M113" s="305"/>
    </row>
    <row r="114" spans="1:13" x14ac:dyDescent="0.2">
      <c r="A114" s="305"/>
      <c r="B114" s="305"/>
      <c r="C114" s="305"/>
      <c r="D114" s="305"/>
      <c r="E114" s="305"/>
      <c r="F114" s="305"/>
      <c r="G114" s="305"/>
      <c r="H114" s="305"/>
      <c r="I114" s="305"/>
      <c r="J114" s="305"/>
      <c r="K114" s="305"/>
      <c r="L114" s="305"/>
      <c r="M114" s="305"/>
    </row>
    <row r="115" spans="1:13" x14ac:dyDescent="0.2">
      <c r="A115" s="305"/>
      <c r="B115" s="305"/>
      <c r="C115" s="305"/>
      <c r="D115" s="305"/>
      <c r="E115" s="305"/>
      <c r="F115" s="305"/>
      <c r="G115" s="305"/>
      <c r="H115" s="305"/>
      <c r="I115" s="305"/>
      <c r="J115" s="305"/>
      <c r="K115" s="305"/>
      <c r="L115" s="305"/>
      <c r="M115" s="305"/>
    </row>
    <row r="116" spans="1:13" x14ac:dyDescent="0.2">
      <c r="A116" s="305"/>
      <c r="B116" s="305"/>
      <c r="C116" s="305"/>
      <c r="D116" s="305"/>
      <c r="E116" s="305"/>
      <c r="F116" s="305"/>
      <c r="G116" s="305"/>
      <c r="H116" s="305"/>
      <c r="I116" s="305"/>
      <c r="J116" s="305"/>
      <c r="K116" s="305"/>
      <c r="L116" s="305"/>
      <c r="M116" s="305"/>
    </row>
    <row r="117" spans="1:13" x14ac:dyDescent="0.2">
      <c r="A117" s="305"/>
      <c r="B117" s="305"/>
      <c r="C117" s="305"/>
      <c r="D117" s="305"/>
      <c r="E117" s="305"/>
      <c r="F117" s="305"/>
      <c r="G117" s="305"/>
      <c r="H117" s="305"/>
      <c r="I117" s="305"/>
      <c r="J117" s="305"/>
      <c r="K117" s="305"/>
      <c r="L117" s="305"/>
      <c r="M117" s="305"/>
    </row>
    <row r="118" spans="1:13" x14ac:dyDescent="0.2">
      <c r="A118" s="305"/>
      <c r="B118" s="305"/>
      <c r="C118" s="305"/>
      <c r="D118" s="305"/>
      <c r="E118" s="305"/>
      <c r="F118" s="305"/>
      <c r="G118" s="305"/>
      <c r="H118" s="305"/>
      <c r="I118" s="305"/>
      <c r="J118" s="305"/>
      <c r="K118" s="305"/>
      <c r="L118" s="305"/>
      <c r="M118" s="305"/>
    </row>
    <row r="119" spans="1:13" x14ac:dyDescent="0.2">
      <c r="A119" s="305"/>
      <c r="B119" s="305"/>
      <c r="C119" s="305"/>
      <c r="D119" s="305"/>
      <c r="E119" s="305"/>
      <c r="F119" s="305"/>
      <c r="G119" s="305"/>
      <c r="H119" s="305"/>
      <c r="I119" s="305"/>
      <c r="J119" s="305"/>
      <c r="K119" s="305"/>
      <c r="L119" s="305"/>
      <c r="M119" s="305"/>
    </row>
    <row r="120" spans="1:13" x14ac:dyDescent="0.2">
      <c r="A120" s="305"/>
      <c r="B120" s="305"/>
      <c r="C120" s="305"/>
      <c r="D120" s="305"/>
      <c r="E120" s="305"/>
      <c r="F120" s="305"/>
      <c r="G120" s="305"/>
      <c r="H120" s="305"/>
      <c r="I120" s="305"/>
      <c r="J120" s="305"/>
      <c r="K120" s="305"/>
      <c r="L120" s="305"/>
      <c r="M120" s="305"/>
    </row>
    <row r="121" spans="1:13" x14ac:dyDescent="0.2">
      <c r="A121" s="305"/>
      <c r="B121" s="305"/>
      <c r="C121" s="305"/>
      <c r="D121" s="305"/>
      <c r="E121" s="305"/>
      <c r="F121" s="305"/>
      <c r="G121" s="305"/>
      <c r="H121" s="305"/>
      <c r="I121" s="305"/>
      <c r="J121" s="305"/>
      <c r="K121" s="305"/>
      <c r="L121" s="305"/>
      <c r="M121" s="305"/>
    </row>
  </sheetData>
  <pageMargins left="0" right="0" top="0.5" bottom="0.5" header="0.5" footer="0.5"/>
  <pageSetup scale="87"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2:U102"/>
  <sheetViews>
    <sheetView zoomScaleNormal="100" workbookViewId="0">
      <pane xSplit="2" ySplit="6" topLeftCell="C58" activePane="bottomRight" state="frozen"/>
      <selection activeCell="A3" sqref="A3:IV5"/>
      <selection pane="topRight" activeCell="A3" sqref="A3:IV5"/>
      <selection pane="bottomLeft" activeCell="A3" sqref="A3:IV5"/>
      <selection pane="bottomRight" activeCell="P96" sqref="P96"/>
    </sheetView>
  </sheetViews>
  <sheetFormatPr defaultRowHeight="11.25" x14ac:dyDescent="0.2"/>
  <cols>
    <col min="1" max="1" width="6" style="305" customWidth="1"/>
    <col min="2" max="2" width="17.85546875" style="305" customWidth="1"/>
    <col min="3" max="4" width="9.85546875" style="305" customWidth="1"/>
    <col min="5" max="5" width="11.28515625" style="305" customWidth="1"/>
    <col min="6" max="7" width="9.5703125" style="305" customWidth="1"/>
    <col min="8" max="8" width="9.85546875" style="305" customWidth="1"/>
    <col min="9" max="9" width="10.42578125" style="305" customWidth="1"/>
    <col min="10" max="10" width="10.7109375" style="305" customWidth="1"/>
    <col min="11" max="13" width="9.140625" style="305"/>
    <col min="14" max="14" width="11.28515625" style="305" bestFit="1" customWidth="1"/>
    <col min="15" max="15" width="10.7109375" style="305" bestFit="1" customWidth="1"/>
    <col min="16" max="16" width="12.28515625" style="305" bestFit="1" customWidth="1"/>
    <col min="17" max="17" width="9.85546875" style="305" customWidth="1"/>
    <col min="18" max="18" width="15.140625" style="305" bestFit="1" customWidth="1"/>
    <col min="19" max="16384" width="9.140625" style="305"/>
  </cols>
  <sheetData>
    <row r="2" spans="1:16" x14ac:dyDescent="0.2">
      <c r="B2" s="327" t="str">
        <f>'WUTC_KENT_SF 2018'!A1</f>
        <v>Kent-Meridian Disposal</v>
      </c>
      <c r="C2" s="349"/>
    </row>
    <row r="3" spans="1:16" x14ac:dyDescent="0.2">
      <c r="B3" s="327" t="str">
        <f>'WUTC_KENT_SF 2018'!A4</f>
        <v>Single Family</v>
      </c>
      <c r="C3" s="349"/>
    </row>
    <row r="4" spans="1:16" x14ac:dyDescent="0.2">
      <c r="C4" s="347"/>
      <c r="D4" s="347"/>
      <c r="E4" s="347"/>
      <c r="F4" s="347"/>
      <c r="G4" s="347"/>
      <c r="H4" s="348"/>
      <c r="I4" s="348"/>
      <c r="J4" s="327"/>
    </row>
    <row r="5" spans="1:16" x14ac:dyDescent="0.2">
      <c r="C5" s="347"/>
      <c r="D5" s="347"/>
      <c r="E5" s="347"/>
      <c r="F5" s="347"/>
      <c r="G5" s="347"/>
      <c r="H5" s="348"/>
      <c r="I5" s="348"/>
      <c r="J5" s="347"/>
    </row>
    <row r="6" spans="1:16" ht="9.9499999999999993" customHeight="1" x14ac:dyDescent="0.2">
      <c r="C6" s="346">
        <v>42856</v>
      </c>
      <c r="D6" s="345">
        <f t="shared" ref="D6:N6" si="0">EOMONTH(C6,1)</f>
        <v>42916</v>
      </c>
      <c r="E6" s="345">
        <f t="shared" si="0"/>
        <v>42947</v>
      </c>
      <c r="F6" s="345">
        <f t="shared" si="0"/>
        <v>42978</v>
      </c>
      <c r="G6" s="345">
        <f t="shared" si="0"/>
        <v>43008</v>
      </c>
      <c r="H6" s="345">
        <f t="shared" si="0"/>
        <v>43039</v>
      </c>
      <c r="I6" s="345">
        <f t="shared" si="0"/>
        <v>43069</v>
      </c>
      <c r="J6" s="345">
        <f t="shared" si="0"/>
        <v>43100</v>
      </c>
      <c r="K6" s="345">
        <f t="shared" si="0"/>
        <v>43131</v>
      </c>
      <c r="L6" s="345">
        <f t="shared" si="0"/>
        <v>43159</v>
      </c>
      <c r="M6" s="345">
        <f t="shared" si="0"/>
        <v>43190</v>
      </c>
      <c r="N6" s="345">
        <f t="shared" si="0"/>
        <v>43220</v>
      </c>
    </row>
    <row r="7" spans="1:16" s="306" customFormat="1" x14ac:dyDescent="0.2">
      <c r="A7" s="344" t="s">
        <v>34</v>
      </c>
      <c r="C7" s="343">
        <v>572.26</v>
      </c>
      <c r="D7" s="343">
        <v>567.11</v>
      </c>
      <c r="E7" s="343">
        <v>548.28</v>
      </c>
      <c r="F7" s="343">
        <v>576.79999999999995</v>
      </c>
      <c r="G7" s="343">
        <v>562.9</v>
      </c>
      <c r="H7" s="343">
        <v>519.35</v>
      </c>
      <c r="I7" s="343">
        <v>604.01</v>
      </c>
      <c r="J7" s="343">
        <v>596.88</v>
      </c>
      <c r="K7" s="343">
        <v>780.84</v>
      </c>
      <c r="L7" s="343">
        <v>531.54999999999995</v>
      </c>
      <c r="M7" s="343">
        <v>615.26</v>
      </c>
      <c r="N7" s="343">
        <v>597.57000000000005</v>
      </c>
    </row>
    <row r="8" spans="1:16" x14ac:dyDescent="0.2">
      <c r="A8" s="305" t="s">
        <v>35</v>
      </c>
      <c r="C8" s="86">
        <v>0</v>
      </c>
      <c r="D8" s="86">
        <v>0</v>
      </c>
      <c r="E8" s="86">
        <v>0</v>
      </c>
      <c r="F8" s="86">
        <v>0</v>
      </c>
      <c r="G8" s="86">
        <v>0</v>
      </c>
      <c r="H8" s="86">
        <v>0</v>
      </c>
      <c r="I8" s="86">
        <v>0</v>
      </c>
      <c r="J8" s="86">
        <v>0</v>
      </c>
      <c r="K8" s="86">
        <v>0</v>
      </c>
      <c r="L8" s="86">
        <v>0</v>
      </c>
      <c r="M8" s="86">
        <v>0</v>
      </c>
      <c r="N8" s="86">
        <v>0</v>
      </c>
    </row>
    <row r="9" spans="1:16" x14ac:dyDescent="0.2">
      <c r="A9" s="305" t="s">
        <v>36</v>
      </c>
      <c r="C9" s="87">
        <f t="shared" ref="C9:N9" si="1">+C7*C8</f>
        <v>0</v>
      </c>
      <c r="D9" s="87">
        <f t="shared" si="1"/>
        <v>0</v>
      </c>
      <c r="E9" s="87">
        <f t="shared" si="1"/>
        <v>0</v>
      </c>
      <c r="F9" s="87">
        <f t="shared" si="1"/>
        <v>0</v>
      </c>
      <c r="G9" s="87">
        <f t="shared" si="1"/>
        <v>0</v>
      </c>
      <c r="H9" s="87">
        <f t="shared" si="1"/>
        <v>0</v>
      </c>
      <c r="I9" s="87">
        <f t="shared" si="1"/>
        <v>0</v>
      </c>
      <c r="J9" s="87">
        <f t="shared" si="1"/>
        <v>0</v>
      </c>
      <c r="K9" s="87">
        <f t="shared" si="1"/>
        <v>0</v>
      </c>
      <c r="L9" s="87">
        <f t="shared" si="1"/>
        <v>0</v>
      </c>
      <c r="M9" s="87">
        <f t="shared" si="1"/>
        <v>0</v>
      </c>
      <c r="N9" s="87">
        <f t="shared" si="1"/>
        <v>0</v>
      </c>
    </row>
    <row r="10" spans="1:16" x14ac:dyDescent="0.2">
      <c r="A10" s="327" t="s">
        <v>37</v>
      </c>
      <c r="C10" s="342">
        <f t="shared" ref="C10:N10" si="2">+C7-C9</f>
        <v>572.26</v>
      </c>
      <c r="D10" s="342">
        <f t="shared" si="2"/>
        <v>567.11</v>
      </c>
      <c r="E10" s="342">
        <f t="shared" si="2"/>
        <v>548.28</v>
      </c>
      <c r="F10" s="342">
        <f t="shared" si="2"/>
        <v>576.79999999999995</v>
      </c>
      <c r="G10" s="342">
        <f t="shared" si="2"/>
        <v>562.9</v>
      </c>
      <c r="H10" s="342">
        <f t="shared" si="2"/>
        <v>519.35</v>
      </c>
      <c r="I10" s="342">
        <f t="shared" si="2"/>
        <v>604.01</v>
      </c>
      <c r="J10" s="342">
        <f t="shared" si="2"/>
        <v>596.88</v>
      </c>
      <c r="K10" s="342">
        <f t="shared" si="2"/>
        <v>780.84</v>
      </c>
      <c r="L10" s="342">
        <f t="shared" si="2"/>
        <v>531.54999999999995</v>
      </c>
      <c r="M10" s="342">
        <f t="shared" si="2"/>
        <v>615.26</v>
      </c>
      <c r="N10" s="342">
        <f t="shared" si="2"/>
        <v>597.57000000000005</v>
      </c>
    </row>
    <row r="12" spans="1:16" x14ac:dyDescent="0.2">
      <c r="A12" s="327" t="s">
        <v>38</v>
      </c>
    </row>
    <row r="13" spans="1:16" s="332" customFormat="1" x14ac:dyDescent="0.2">
      <c r="B13" s="332" t="s">
        <v>24</v>
      </c>
      <c r="C13" s="341">
        <v>0.19500000000000001</v>
      </c>
      <c r="D13" s="341">
        <f t="shared" ref="D13:M13" si="3">+C13</f>
        <v>0.19500000000000001</v>
      </c>
      <c r="E13" s="341">
        <f t="shared" si="3"/>
        <v>0.19500000000000001</v>
      </c>
      <c r="F13" s="341">
        <f t="shared" si="3"/>
        <v>0.19500000000000001</v>
      </c>
      <c r="G13" s="341">
        <f t="shared" si="3"/>
        <v>0.19500000000000001</v>
      </c>
      <c r="H13" s="341">
        <f t="shared" si="3"/>
        <v>0.19500000000000001</v>
      </c>
      <c r="I13" s="341">
        <f t="shared" si="3"/>
        <v>0.19500000000000001</v>
      </c>
      <c r="J13" s="341">
        <f t="shared" si="3"/>
        <v>0.19500000000000001</v>
      </c>
      <c r="K13" s="341">
        <f t="shared" si="3"/>
        <v>0.19500000000000001</v>
      </c>
      <c r="L13" s="341">
        <f t="shared" si="3"/>
        <v>0.19500000000000001</v>
      </c>
      <c r="M13" s="341">
        <f t="shared" si="3"/>
        <v>0.19500000000000001</v>
      </c>
      <c r="N13" s="341">
        <v>0</v>
      </c>
      <c r="P13" s="340"/>
    </row>
    <row r="14" spans="1:16" s="332" customFormat="1" x14ac:dyDescent="0.2">
      <c r="B14" s="332" t="s">
        <v>28</v>
      </c>
      <c r="C14" s="341">
        <v>0.1782</v>
      </c>
      <c r="D14" s="341">
        <f t="shared" ref="D14:M14" si="4">+C14</f>
        <v>0.1782</v>
      </c>
      <c r="E14" s="341">
        <f t="shared" si="4"/>
        <v>0.1782</v>
      </c>
      <c r="F14" s="341">
        <f t="shared" si="4"/>
        <v>0.1782</v>
      </c>
      <c r="G14" s="341">
        <f t="shared" si="4"/>
        <v>0.1782</v>
      </c>
      <c r="H14" s="341">
        <f t="shared" si="4"/>
        <v>0.1782</v>
      </c>
      <c r="I14" s="341">
        <f t="shared" si="4"/>
        <v>0.1782</v>
      </c>
      <c r="J14" s="341">
        <f t="shared" si="4"/>
        <v>0.1782</v>
      </c>
      <c r="K14" s="341">
        <f t="shared" si="4"/>
        <v>0.1782</v>
      </c>
      <c r="L14" s="341">
        <f t="shared" si="4"/>
        <v>0.1782</v>
      </c>
      <c r="M14" s="341">
        <f t="shared" si="4"/>
        <v>0.1782</v>
      </c>
      <c r="N14" s="341">
        <f t="shared" ref="N14:N22" si="5">+M14</f>
        <v>0.1782</v>
      </c>
      <c r="P14" s="340"/>
    </row>
    <row r="15" spans="1:16" s="332" customFormat="1" x14ac:dyDescent="0.2">
      <c r="B15" s="332" t="s">
        <v>39</v>
      </c>
      <c r="C15" s="341">
        <v>0</v>
      </c>
      <c r="D15" s="341">
        <f t="shared" ref="D15:M15" si="6">+C15</f>
        <v>0</v>
      </c>
      <c r="E15" s="341">
        <f t="shared" si="6"/>
        <v>0</v>
      </c>
      <c r="F15" s="341">
        <f t="shared" si="6"/>
        <v>0</v>
      </c>
      <c r="G15" s="341">
        <f t="shared" si="6"/>
        <v>0</v>
      </c>
      <c r="H15" s="341">
        <f t="shared" si="6"/>
        <v>0</v>
      </c>
      <c r="I15" s="341">
        <f t="shared" si="6"/>
        <v>0</v>
      </c>
      <c r="J15" s="341">
        <f t="shared" si="6"/>
        <v>0</v>
      </c>
      <c r="K15" s="341">
        <f t="shared" si="6"/>
        <v>0</v>
      </c>
      <c r="L15" s="341">
        <f t="shared" si="6"/>
        <v>0</v>
      </c>
      <c r="M15" s="341">
        <f t="shared" si="6"/>
        <v>0</v>
      </c>
      <c r="N15" s="341">
        <f t="shared" si="5"/>
        <v>0</v>
      </c>
      <c r="P15" s="340"/>
    </row>
    <row r="16" spans="1:16" s="332" customFormat="1" x14ac:dyDescent="0.2">
      <c r="B16" s="332" t="s">
        <v>40</v>
      </c>
      <c r="C16" s="341">
        <v>1.6500000000000001E-2</v>
      </c>
      <c r="D16" s="341">
        <f t="shared" ref="D16:M16" si="7">+C16</f>
        <v>1.6500000000000001E-2</v>
      </c>
      <c r="E16" s="341">
        <f t="shared" si="7"/>
        <v>1.6500000000000001E-2</v>
      </c>
      <c r="F16" s="341">
        <f t="shared" si="7"/>
        <v>1.6500000000000001E-2</v>
      </c>
      <c r="G16" s="341">
        <f t="shared" si="7"/>
        <v>1.6500000000000001E-2</v>
      </c>
      <c r="H16" s="341">
        <f t="shared" si="7"/>
        <v>1.6500000000000001E-2</v>
      </c>
      <c r="I16" s="341">
        <f t="shared" si="7"/>
        <v>1.6500000000000001E-2</v>
      </c>
      <c r="J16" s="341">
        <f t="shared" si="7"/>
        <v>1.6500000000000001E-2</v>
      </c>
      <c r="K16" s="341">
        <f t="shared" si="7"/>
        <v>1.6500000000000001E-2</v>
      </c>
      <c r="L16" s="341">
        <f t="shared" si="7"/>
        <v>1.6500000000000001E-2</v>
      </c>
      <c r="M16" s="341">
        <f t="shared" si="7"/>
        <v>1.6500000000000001E-2</v>
      </c>
      <c r="N16" s="341">
        <f t="shared" si="5"/>
        <v>1.6500000000000001E-2</v>
      </c>
      <c r="P16" s="340"/>
    </row>
    <row r="17" spans="1:16" s="332" customFormat="1" x14ac:dyDescent="0.2">
      <c r="B17" s="332" t="s">
        <v>41</v>
      </c>
      <c r="C17" s="341">
        <v>4.4900000000000002E-2</v>
      </c>
      <c r="D17" s="341">
        <f t="shared" ref="D17:M17" si="8">+C17</f>
        <v>4.4900000000000002E-2</v>
      </c>
      <c r="E17" s="341">
        <f t="shared" si="8"/>
        <v>4.4900000000000002E-2</v>
      </c>
      <c r="F17" s="341">
        <f t="shared" si="8"/>
        <v>4.4900000000000002E-2</v>
      </c>
      <c r="G17" s="341">
        <f t="shared" si="8"/>
        <v>4.4900000000000002E-2</v>
      </c>
      <c r="H17" s="341">
        <f t="shared" si="8"/>
        <v>4.4900000000000002E-2</v>
      </c>
      <c r="I17" s="341">
        <f t="shared" si="8"/>
        <v>4.4900000000000002E-2</v>
      </c>
      <c r="J17" s="341">
        <f t="shared" si="8"/>
        <v>4.4900000000000002E-2</v>
      </c>
      <c r="K17" s="341">
        <f t="shared" si="8"/>
        <v>4.4900000000000002E-2</v>
      </c>
      <c r="L17" s="341">
        <f t="shared" si="8"/>
        <v>4.4900000000000002E-2</v>
      </c>
      <c r="M17" s="341">
        <f t="shared" si="8"/>
        <v>4.4900000000000002E-2</v>
      </c>
      <c r="N17" s="341">
        <f t="shared" si="5"/>
        <v>4.4900000000000002E-2</v>
      </c>
      <c r="P17" s="340"/>
    </row>
    <row r="18" spans="1:16" s="332" customFormat="1" x14ac:dyDescent="0.2">
      <c r="B18" s="332" t="s">
        <v>42</v>
      </c>
      <c r="C18" s="341">
        <v>7.4999999999999997E-3</v>
      </c>
      <c r="D18" s="341">
        <f t="shared" ref="D18:M18" si="9">+C18</f>
        <v>7.4999999999999997E-3</v>
      </c>
      <c r="E18" s="341">
        <f t="shared" si="9"/>
        <v>7.4999999999999997E-3</v>
      </c>
      <c r="F18" s="341">
        <f t="shared" si="9"/>
        <v>7.4999999999999997E-3</v>
      </c>
      <c r="G18" s="341">
        <f t="shared" si="9"/>
        <v>7.4999999999999997E-3</v>
      </c>
      <c r="H18" s="341">
        <f t="shared" si="9"/>
        <v>7.4999999999999997E-3</v>
      </c>
      <c r="I18" s="341">
        <f t="shared" si="9"/>
        <v>7.4999999999999997E-3</v>
      </c>
      <c r="J18" s="341">
        <f t="shared" si="9"/>
        <v>7.4999999999999997E-3</v>
      </c>
      <c r="K18" s="341">
        <f t="shared" si="9"/>
        <v>7.4999999999999997E-3</v>
      </c>
      <c r="L18" s="341">
        <f t="shared" si="9"/>
        <v>7.4999999999999997E-3</v>
      </c>
      <c r="M18" s="341">
        <f t="shared" si="9"/>
        <v>7.4999999999999997E-3</v>
      </c>
      <c r="N18" s="341">
        <f t="shared" si="5"/>
        <v>7.4999999999999997E-3</v>
      </c>
      <c r="P18" s="340"/>
    </row>
    <row r="19" spans="1:16" s="332" customFormat="1" x14ac:dyDescent="0.2">
      <c r="B19" s="305" t="s">
        <v>43</v>
      </c>
      <c r="C19" s="341">
        <v>0</v>
      </c>
      <c r="D19" s="341">
        <f t="shared" ref="D19:M19" si="10">+C19</f>
        <v>0</v>
      </c>
      <c r="E19" s="341">
        <f t="shared" si="10"/>
        <v>0</v>
      </c>
      <c r="F19" s="341">
        <f t="shared" si="10"/>
        <v>0</v>
      </c>
      <c r="G19" s="341">
        <f t="shared" si="10"/>
        <v>0</v>
      </c>
      <c r="H19" s="341">
        <f t="shared" si="10"/>
        <v>0</v>
      </c>
      <c r="I19" s="341">
        <f t="shared" si="10"/>
        <v>0</v>
      </c>
      <c r="J19" s="341">
        <f t="shared" si="10"/>
        <v>0</v>
      </c>
      <c r="K19" s="341">
        <f t="shared" si="10"/>
        <v>0</v>
      </c>
      <c r="L19" s="341">
        <f t="shared" si="10"/>
        <v>0</v>
      </c>
      <c r="M19" s="341">
        <f t="shared" si="10"/>
        <v>0</v>
      </c>
      <c r="N19" s="341">
        <f t="shared" si="5"/>
        <v>0</v>
      </c>
      <c r="P19" s="340"/>
    </row>
    <row r="20" spans="1:16" s="332" customFormat="1" x14ac:dyDescent="0.2">
      <c r="B20" s="305" t="s">
        <v>22</v>
      </c>
      <c r="C20" s="341">
        <v>0.17680000000000001</v>
      </c>
      <c r="D20" s="341">
        <f t="shared" ref="D20:M20" si="11">+C20</f>
        <v>0.17680000000000001</v>
      </c>
      <c r="E20" s="341">
        <f t="shared" si="11"/>
        <v>0.17680000000000001</v>
      </c>
      <c r="F20" s="341">
        <f t="shared" si="11"/>
        <v>0.17680000000000001</v>
      </c>
      <c r="G20" s="341">
        <f t="shared" si="11"/>
        <v>0.17680000000000001</v>
      </c>
      <c r="H20" s="341">
        <f t="shared" si="11"/>
        <v>0.17680000000000001</v>
      </c>
      <c r="I20" s="341">
        <f t="shared" si="11"/>
        <v>0.17680000000000001</v>
      </c>
      <c r="J20" s="341">
        <f t="shared" si="11"/>
        <v>0.17680000000000001</v>
      </c>
      <c r="K20" s="341">
        <f t="shared" si="11"/>
        <v>0.17680000000000001</v>
      </c>
      <c r="L20" s="341">
        <f t="shared" si="11"/>
        <v>0.17680000000000001</v>
      </c>
      <c r="M20" s="341">
        <f t="shared" si="11"/>
        <v>0.17680000000000001</v>
      </c>
      <c r="N20" s="341">
        <f t="shared" si="5"/>
        <v>0.17680000000000001</v>
      </c>
      <c r="P20" s="340"/>
    </row>
    <row r="21" spans="1:16" s="332" customFormat="1" x14ac:dyDescent="0.2">
      <c r="B21" s="332" t="s">
        <v>44</v>
      </c>
      <c r="C21" s="341">
        <v>0</v>
      </c>
      <c r="D21" s="341">
        <f t="shared" ref="D21:M21" si="12">+C21</f>
        <v>0</v>
      </c>
      <c r="E21" s="341">
        <f t="shared" si="12"/>
        <v>0</v>
      </c>
      <c r="F21" s="341">
        <f t="shared" si="12"/>
        <v>0</v>
      </c>
      <c r="G21" s="341">
        <f t="shared" si="12"/>
        <v>0</v>
      </c>
      <c r="H21" s="341">
        <f t="shared" si="12"/>
        <v>0</v>
      </c>
      <c r="I21" s="341">
        <f t="shared" si="12"/>
        <v>0</v>
      </c>
      <c r="J21" s="341">
        <f t="shared" si="12"/>
        <v>0</v>
      </c>
      <c r="K21" s="341">
        <f t="shared" si="12"/>
        <v>0</v>
      </c>
      <c r="L21" s="341">
        <f t="shared" si="12"/>
        <v>0</v>
      </c>
      <c r="M21" s="341">
        <f t="shared" si="12"/>
        <v>0</v>
      </c>
      <c r="N21" s="341">
        <f t="shared" si="5"/>
        <v>0</v>
      </c>
      <c r="P21" s="340"/>
    </row>
    <row r="22" spans="1:16" s="332" customFormat="1" x14ac:dyDescent="0.2">
      <c r="B22" s="332" t="s">
        <v>45</v>
      </c>
      <c r="C22" s="341">
        <v>5.930000000000013E-2</v>
      </c>
      <c r="D22" s="341">
        <f t="shared" ref="D22:M22" si="13">+C22</f>
        <v>5.930000000000013E-2</v>
      </c>
      <c r="E22" s="341">
        <f t="shared" si="13"/>
        <v>5.930000000000013E-2</v>
      </c>
      <c r="F22" s="341">
        <f t="shared" si="13"/>
        <v>5.930000000000013E-2</v>
      </c>
      <c r="G22" s="341">
        <f t="shared" si="13"/>
        <v>5.930000000000013E-2</v>
      </c>
      <c r="H22" s="341">
        <f t="shared" si="13"/>
        <v>5.930000000000013E-2</v>
      </c>
      <c r="I22" s="341">
        <f t="shared" si="13"/>
        <v>5.930000000000013E-2</v>
      </c>
      <c r="J22" s="341">
        <f t="shared" si="13"/>
        <v>5.930000000000013E-2</v>
      </c>
      <c r="K22" s="341">
        <f t="shared" si="13"/>
        <v>5.930000000000013E-2</v>
      </c>
      <c r="L22" s="341">
        <f t="shared" si="13"/>
        <v>5.930000000000013E-2</v>
      </c>
      <c r="M22" s="341">
        <f t="shared" si="13"/>
        <v>5.930000000000013E-2</v>
      </c>
      <c r="N22" s="341">
        <f t="shared" si="5"/>
        <v>5.930000000000013E-2</v>
      </c>
      <c r="P22" s="340"/>
    </row>
    <row r="23" spans="1:16" s="332" customFormat="1" x14ac:dyDescent="0.2">
      <c r="B23" s="332" t="s">
        <v>46</v>
      </c>
      <c r="C23" s="91">
        <v>0.32179999999999997</v>
      </c>
      <c r="D23" s="341">
        <f t="shared" ref="D23:M23" si="14">+C23</f>
        <v>0.32179999999999997</v>
      </c>
      <c r="E23" s="341">
        <f t="shared" si="14"/>
        <v>0.32179999999999997</v>
      </c>
      <c r="F23" s="341">
        <f t="shared" si="14"/>
        <v>0.32179999999999997</v>
      </c>
      <c r="G23" s="341">
        <f t="shared" si="14"/>
        <v>0.32179999999999997</v>
      </c>
      <c r="H23" s="341">
        <f t="shared" si="14"/>
        <v>0.32179999999999997</v>
      </c>
      <c r="I23" s="341">
        <f t="shared" si="14"/>
        <v>0.32179999999999997</v>
      </c>
      <c r="J23" s="341">
        <f t="shared" si="14"/>
        <v>0.32179999999999997</v>
      </c>
      <c r="K23" s="341">
        <f t="shared" si="14"/>
        <v>0.32179999999999997</v>
      </c>
      <c r="L23" s="341">
        <f t="shared" si="14"/>
        <v>0.32179999999999997</v>
      </c>
      <c r="M23" s="341">
        <f t="shared" si="14"/>
        <v>0.32179999999999997</v>
      </c>
      <c r="N23" s="341">
        <v>0.51680000000000004</v>
      </c>
      <c r="P23" s="340"/>
    </row>
    <row r="24" spans="1:16" x14ac:dyDescent="0.2">
      <c r="C24" s="92">
        <v>1</v>
      </c>
      <c r="D24" s="92">
        <v>1</v>
      </c>
      <c r="E24" s="92">
        <v>1</v>
      </c>
      <c r="F24" s="92">
        <v>1</v>
      </c>
      <c r="G24" s="92">
        <v>1</v>
      </c>
      <c r="H24" s="92">
        <v>1</v>
      </c>
      <c r="I24" s="92">
        <v>1</v>
      </c>
      <c r="J24" s="92">
        <v>1</v>
      </c>
      <c r="K24" s="92">
        <v>1</v>
      </c>
      <c r="L24" s="92">
        <v>1</v>
      </c>
      <c r="M24" s="92">
        <v>1</v>
      </c>
      <c r="N24" s="92">
        <v>1</v>
      </c>
      <c r="P24" s="340"/>
    </row>
    <row r="26" spans="1:16" x14ac:dyDescent="0.2">
      <c r="A26" s="327" t="s">
        <v>47</v>
      </c>
    </row>
    <row r="27" spans="1:16" x14ac:dyDescent="0.2">
      <c r="B27" s="305" t="s">
        <v>24</v>
      </c>
      <c r="C27" s="70">
        <f t="shared" ref="C27:N27" si="15">+C$10*C13</f>
        <v>111.5907</v>
      </c>
      <c r="D27" s="70">
        <f t="shared" si="15"/>
        <v>110.58645000000001</v>
      </c>
      <c r="E27" s="70">
        <f t="shared" si="15"/>
        <v>106.91459999999999</v>
      </c>
      <c r="F27" s="70">
        <f t="shared" si="15"/>
        <v>112.476</v>
      </c>
      <c r="G27" s="70">
        <f t="shared" si="15"/>
        <v>109.7655</v>
      </c>
      <c r="H27" s="70">
        <f t="shared" si="15"/>
        <v>101.27325</v>
      </c>
      <c r="I27" s="70">
        <f t="shared" si="15"/>
        <v>117.78195000000001</v>
      </c>
      <c r="J27" s="70">
        <f t="shared" si="15"/>
        <v>116.3916</v>
      </c>
      <c r="K27" s="70">
        <f t="shared" si="15"/>
        <v>152.2638</v>
      </c>
      <c r="L27" s="70">
        <f t="shared" si="15"/>
        <v>103.65225</v>
      </c>
      <c r="M27" s="70">
        <f t="shared" si="15"/>
        <v>119.9757</v>
      </c>
      <c r="N27" s="70">
        <f t="shared" si="15"/>
        <v>0</v>
      </c>
    </row>
    <row r="28" spans="1:16" x14ac:dyDescent="0.2">
      <c r="B28" s="305" t="s">
        <v>28</v>
      </c>
      <c r="C28" s="70">
        <f t="shared" ref="C28:N28" si="16">+C$10*C14</f>
        <v>101.976732</v>
      </c>
      <c r="D28" s="70">
        <f t="shared" si="16"/>
        <v>101.05900200000001</v>
      </c>
      <c r="E28" s="70">
        <f t="shared" si="16"/>
        <v>97.703495999999987</v>
      </c>
      <c r="F28" s="70">
        <f t="shared" si="16"/>
        <v>102.78576</v>
      </c>
      <c r="G28" s="70">
        <f t="shared" si="16"/>
        <v>100.30878</v>
      </c>
      <c r="H28" s="70">
        <f t="shared" si="16"/>
        <v>92.548169999999999</v>
      </c>
      <c r="I28" s="70">
        <f t="shared" si="16"/>
        <v>107.63458199999999</v>
      </c>
      <c r="J28" s="70">
        <f t="shared" si="16"/>
        <v>106.36401599999999</v>
      </c>
      <c r="K28" s="70">
        <f t="shared" si="16"/>
        <v>139.14568800000001</v>
      </c>
      <c r="L28" s="70">
        <f t="shared" si="16"/>
        <v>94.72220999999999</v>
      </c>
      <c r="M28" s="70">
        <f t="shared" si="16"/>
        <v>109.639332</v>
      </c>
      <c r="N28" s="70">
        <f t="shared" si="16"/>
        <v>106.486974</v>
      </c>
    </row>
    <row r="29" spans="1:16" x14ac:dyDescent="0.2">
      <c r="B29" s="305" t="s">
        <v>39</v>
      </c>
      <c r="C29" s="70">
        <f t="shared" ref="C29:N29" si="17">+C$10*C15</f>
        <v>0</v>
      </c>
      <c r="D29" s="70">
        <f t="shared" si="17"/>
        <v>0</v>
      </c>
      <c r="E29" s="70">
        <f t="shared" si="17"/>
        <v>0</v>
      </c>
      <c r="F29" s="70">
        <f t="shared" si="17"/>
        <v>0</v>
      </c>
      <c r="G29" s="70">
        <f t="shared" si="17"/>
        <v>0</v>
      </c>
      <c r="H29" s="70">
        <f t="shared" si="17"/>
        <v>0</v>
      </c>
      <c r="I29" s="70">
        <f t="shared" si="17"/>
        <v>0</v>
      </c>
      <c r="J29" s="70">
        <f t="shared" si="17"/>
        <v>0</v>
      </c>
      <c r="K29" s="70">
        <f t="shared" si="17"/>
        <v>0</v>
      </c>
      <c r="L29" s="70">
        <f t="shared" si="17"/>
        <v>0</v>
      </c>
      <c r="M29" s="70">
        <f t="shared" si="17"/>
        <v>0</v>
      </c>
      <c r="N29" s="70">
        <f t="shared" si="17"/>
        <v>0</v>
      </c>
    </row>
    <row r="30" spans="1:16" x14ac:dyDescent="0.2">
      <c r="B30" s="305" t="s">
        <v>40</v>
      </c>
      <c r="C30" s="70">
        <f t="shared" ref="C30:N30" si="18">+C$10*C16</f>
        <v>9.4422899999999998</v>
      </c>
      <c r="D30" s="70">
        <f t="shared" si="18"/>
        <v>9.3573149999999998</v>
      </c>
      <c r="E30" s="70">
        <f t="shared" si="18"/>
        <v>9.0466200000000008</v>
      </c>
      <c r="F30" s="70">
        <f t="shared" si="18"/>
        <v>9.517199999999999</v>
      </c>
      <c r="G30" s="70">
        <f t="shared" si="18"/>
        <v>9.2878500000000006</v>
      </c>
      <c r="H30" s="70">
        <f t="shared" si="18"/>
        <v>8.5692750000000011</v>
      </c>
      <c r="I30" s="70">
        <f t="shared" si="18"/>
        <v>9.9661650000000002</v>
      </c>
      <c r="J30" s="70">
        <f t="shared" si="18"/>
        <v>9.8485200000000006</v>
      </c>
      <c r="K30" s="70">
        <f t="shared" si="18"/>
        <v>12.88386</v>
      </c>
      <c r="L30" s="70">
        <f t="shared" si="18"/>
        <v>8.7705749999999991</v>
      </c>
      <c r="M30" s="70">
        <f t="shared" si="18"/>
        <v>10.15179</v>
      </c>
      <c r="N30" s="70">
        <f t="shared" si="18"/>
        <v>9.8599050000000013</v>
      </c>
    </row>
    <row r="31" spans="1:16" x14ac:dyDescent="0.2">
      <c r="B31" s="305" t="s">
        <v>41</v>
      </c>
      <c r="C31" s="70">
        <f t="shared" ref="C31:N31" si="19">+C$10*C17</f>
        <v>25.694474</v>
      </c>
      <c r="D31" s="70">
        <f t="shared" si="19"/>
        <v>25.463239000000002</v>
      </c>
      <c r="E31" s="70">
        <f t="shared" si="19"/>
        <v>24.617771999999999</v>
      </c>
      <c r="F31" s="70">
        <f t="shared" si="19"/>
        <v>25.898319999999998</v>
      </c>
      <c r="G31" s="70">
        <f t="shared" si="19"/>
        <v>25.27421</v>
      </c>
      <c r="H31" s="70">
        <f t="shared" si="19"/>
        <v>23.318815000000001</v>
      </c>
      <c r="I31" s="70">
        <f t="shared" si="19"/>
        <v>27.120049000000002</v>
      </c>
      <c r="J31" s="70">
        <f t="shared" si="19"/>
        <v>26.799912000000003</v>
      </c>
      <c r="K31" s="70">
        <f t="shared" si="19"/>
        <v>35.059716000000002</v>
      </c>
      <c r="L31" s="70">
        <f t="shared" si="19"/>
        <v>23.866595</v>
      </c>
      <c r="M31" s="70">
        <f t="shared" si="19"/>
        <v>27.625174000000001</v>
      </c>
      <c r="N31" s="70">
        <f t="shared" si="19"/>
        <v>26.830893000000003</v>
      </c>
    </row>
    <row r="32" spans="1:16" x14ac:dyDescent="0.2">
      <c r="B32" s="305" t="s">
        <v>42</v>
      </c>
      <c r="C32" s="70">
        <f t="shared" ref="C32:N32" si="20">+C$10*C18</f>
        <v>4.2919499999999999</v>
      </c>
      <c r="D32" s="70">
        <f t="shared" si="20"/>
        <v>4.2533250000000002</v>
      </c>
      <c r="E32" s="70">
        <f t="shared" si="20"/>
        <v>4.1120999999999999</v>
      </c>
      <c r="F32" s="70">
        <f t="shared" si="20"/>
        <v>4.3259999999999996</v>
      </c>
      <c r="G32" s="70">
        <f t="shared" si="20"/>
        <v>4.2217500000000001</v>
      </c>
      <c r="H32" s="70">
        <f t="shared" si="20"/>
        <v>3.8951250000000002</v>
      </c>
      <c r="I32" s="70">
        <f t="shared" si="20"/>
        <v>4.5300750000000001</v>
      </c>
      <c r="J32" s="70">
        <f t="shared" si="20"/>
        <v>4.4765999999999995</v>
      </c>
      <c r="K32" s="70">
        <f t="shared" si="20"/>
        <v>5.8563000000000001</v>
      </c>
      <c r="L32" s="70">
        <f t="shared" si="20"/>
        <v>3.9866249999999996</v>
      </c>
      <c r="M32" s="70">
        <f t="shared" si="20"/>
        <v>4.6144499999999997</v>
      </c>
      <c r="N32" s="70">
        <f t="shared" si="20"/>
        <v>4.4817749999999998</v>
      </c>
    </row>
    <row r="33" spans="1:14" x14ac:dyDescent="0.2">
      <c r="B33" s="305" t="s">
        <v>43</v>
      </c>
      <c r="C33" s="70">
        <f t="shared" ref="C33:N33" si="21">+C$10*C19</f>
        <v>0</v>
      </c>
      <c r="D33" s="70">
        <f t="shared" si="21"/>
        <v>0</v>
      </c>
      <c r="E33" s="70">
        <f t="shared" si="21"/>
        <v>0</v>
      </c>
      <c r="F33" s="70">
        <f t="shared" si="21"/>
        <v>0</v>
      </c>
      <c r="G33" s="70">
        <f t="shared" si="21"/>
        <v>0</v>
      </c>
      <c r="H33" s="70">
        <f t="shared" si="21"/>
        <v>0</v>
      </c>
      <c r="I33" s="70">
        <f t="shared" si="21"/>
        <v>0</v>
      </c>
      <c r="J33" s="70">
        <f t="shared" si="21"/>
        <v>0</v>
      </c>
      <c r="K33" s="70">
        <f t="shared" si="21"/>
        <v>0</v>
      </c>
      <c r="L33" s="70">
        <f t="shared" si="21"/>
        <v>0</v>
      </c>
      <c r="M33" s="70">
        <f t="shared" si="21"/>
        <v>0</v>
      </c>
      <c r="N33" s="70">
        <f t="shared" si="21"/>
        <v>0</v>
      </c>
    </row>
    <row r="34" spans="1:14" x14ac:dyDescent="0.2">
      <c r="B34" s="305" t="s">
        <v>22</v>
      </c>
      <c r="C34" s="70">
        <f t="shared" ref="C34:N34" si="22">+C$10*C20</f>
        <v>101.17556800000001</v>
      </c>
      <c r="D34" s="70">
        <f t="shared" si="22"/>
        <v>100.26504800000001</v>
      </c>
      <c r="E34" s="70">
        <f t="shared" si="22"/>
        <v>96.935904000000008</v>
      </c>
      <c r="F34" s="70">
        <f t="shared" si="22"/>
        <v>101.97824</v>
      </c>
      <c r="G34" s="70">
        <f t="shared" si="22"/>
        <v>99.520719999999997</v>
      </c>
      <c r="H34" s="70">
        <f t="shared" si="22"/>
        <v>91.821080000000009</v>
      </c>
      <c r="I34" s="70">
        <f t="shared" si="22"/>
        <v>106.78896800000001</v>
      </c>
      <c r="J34" s="70">
        <f t="shared" si="22"/>
        <v>105.528384</v>
      </c>
      <c r="K34" s="70">
        <f t="shared" si="22"/>
        <v>138.05251200000001</v>
      </c>
      <c r="L34" s="70">
        <f t="shared" si="22"/>
        <v>93.978039999999993</v>
      </c>
      <c r="M34" s="70">
        <f t="shared" si="22"/>
        <v>108.777968</v>
      </c>
      <c r="N34" s="70">
        <f t="shared" si="22"/>
        <v>105.65037600000002</v>
      </c>
    </row>
    <row r="35" spans="1:14" x14ac:dyDescent="0.2">
      <c r="B35" s="305" t="s">
        <v>44</v>
      </c>
      <c r="C35" s="70">
        <f t="shared" ref="C35:N35" si="23">+C$10*C21</f>
        <v>0</v>
      </c>
      <c r="D35" s="70">
        <f t="shared" si="23"/>
        <v>0</v>
      </c>
      <c r="E35" s="70">
        <f t="shared" si="23"/>
        <v>0</v>
      </c>
      <c r="F35" s="70">
        <f t="shared" si="23"/>
        <v>0</v>
      </c>
      <c r="G35" s="70">
        <f t="shared" si="23"/>
        <v>0</v>
      </c>
      <c r="H35" s="70">
        <f t="shared" si="23"/>
        <v>0</v>
      </c>
      <c r="I35" s="70">
        <f t="shared" si="23"/>
        <v>0</v>
      </c>
      <c r="J35" s="70">
        <f t="shared" si="23"/>
        <v>0</v>
      </c>
      <c r="K35" s="70">
        <f t="shared" si="23"/>
        <v>0</v>
      </c>
      <c r="L35" s="70">
        <f t="shared" si="23"/>
        <v>0</v>
      </c>
      <c r="M35" s="70">
        <f t="shared" si="23"/>
        <v>0</v>
      </c>
      <c r="N35" s="70">
        <f t="shared" si="23"/>
        <v>0</v>
      </c>
    </row>
    <row r="36" spans="1:14" x14ac:dyDescent="0.2">
      <c r="B36" s="305" t="s">
        <v>45</v>
      </c>
      <c r="C36" s="70">
        <f t="shared" ref="C36:N36" si="24">+C$10*C22</f>
        <v>33.935018000000078</v>
      </c>
      <c r="D36" s="70">
        <f t="shared" si="24"/>
        <v>33.629623000000073</v>
      </c>
      <c r="E36" s="70">
        <f t="shared" si="24"/>
        <v>32.513004000000073</v>
      </c>
      <c r="F36" s="70">
        <f t="shared" si="24"/>
        <v>34.20424000000007</v>
      </c>
      <c r="G36" s="70">
        <f t="shared" si="24"/>
        <v>33.379970000000071</v>
      </c>
      <c r="H36" s="70">
        <f t="shared" si="24"/>
        <v>30.79745500000007</v>
      </c>
      <c r="I36" s="70">
        <f t="shared" si="24"/>
        <v>35.81779300000008</v>
      </c>
      <c r="J36" s="70">
        <f t="shared" si="24"/>
        <v>35.394984000000079</v>
      </c>
      <c r="K36" s="70">
        <f t="shared" si="24"/>
        <v>46.303812000000107</v>
      </c>
      <c r="L36" s="70">
        <f t="shared" si="24"/>
        <v>31.520915000000066</v>
      </c>
      <c r="M36" s="70">
        <f t="shared" si="24"/>
        <v>36.484918000000079</v>
      </c>
      <c r="N36" s="70">
        <f t="shared" si="24"/>
        <v>35.435901000000079</v>
      </c>
    </row>
    <row r="37" spans="1:14" x14ac:dyDescent="0.2">
      <c r="B37" s="305" t="s">
        <v>46</v>
      </c>
      <c r="C37" s="87">
        <f t="shared" ref="C37:N37" si="25">+C$10*C23</f>
        <v>184.15326799999997</v>
      </c>
      <c r="D37" s="87">
        <f t="shared" si="25"/>
        <v>182.49599799999999</v>
      </c>
      <c r="E37" s="87">
        <f t="shared" si="25"/>
        <v>176.43650399999999</v>
      </c>
      <c r="F37" s="87">
        <f t="shared" si="25"/>
        <v>185.61423999999997</v>
      </c>
      <c r="G37" s="87">
        <f t="shared" si="25"/>
        <v>181.14121999999998</v>
      </c>
      <c r="H37" s="87">
        <f t="shared" si="25"/>
        <v>167.12682999999998</v>
      </c>
      <c r="I37" s="87">
        <f t="shared" si="25"/>
        <v>194.37041799999997</v>
      </c>
      <c r="J37" s="87">
        <f t="shared" si="25"/>
        <v>192.07598399999998</v>
      </c>
      <c r="K37" s="87">
        <f t="shared" si="25"/>
        <v>251.27431199999998</v>
      </c>
      <c r="L37" s="87">
        <f t="shared" si="25"/>
        <v>171.05278999999996</v>
      </c>
      <c r="M37" s="87">
        <f t="shared" si="25"/>
        <v>197.99066799999997</v>
      </c>
      <c r="N37" s="87">
        <f t="shared" si="25"/>
        <v>308.82417600000002</v>
      </c>
    </row>
    <row r="38" spans="1:14" x14ac:dyDescent="0.2">
      <c r="C38" s="70">
        <f t="shared" ref="C38:N38" si="26">SUM(C27:C37)</f>
        <v>572.26</v>
      </c>
      <c r="D38" s="70">
        <f t="shared" si="26"/>
        <v>567.11000000000013</v>
      </c>
      <c r="E38" s="70">
        <f t="shared" si="26"/>
        <v>548.28000000000009</v>
      </c>
      <c r="F38" s="70">
        <f t="shared" si="26"/>
        <v>576.80000000000007</v>
      </c>
      <c r="G38" s="70">
        <f t="shared" si="26"/>
        <v>562.90000000000009</v>
      </c>
      <c r="H38" s="70">
        <f t="shared" si="26"/>
        <v>519.35000000000014</v>
      </c>
      <c r="I38" s="70">
        <f t="shared" si="26"/>
        <v>604.0100000000001</v>
      </c>
      <c r="J38" s="70">
        <f t="shared" si="26"/>
        <v>596.88000000000011</v>
      </c>
      <c r="K38" s="70">
        <f t="shared" si="26"/>
        <v>780.84000000000015</v>
      </c>
      <c r="L38" s="70">
        <f t="shared" si="26"/>
        <v>531.54999999999995</v>
      </c>
      <c r="M38" s="70">
        <f t="shared" si="26"/>
        <v>615.26</v>
      </c>
      <c r="N38" s="70">
        <f t="shared" si="26"/>
        <v>597.57000000000016</v>
      </c>
    </row>
    <row r="40" spans="1:14" x14ac:dyDescent="0.2">
      <c r="A40" s="327" t="s">
        <v>48</v>
      </c>
    </row>
    <row r="41" spans="1:14" x14ac:dyDescent="0.2">
      <c r="B41" s="305" t="s">
        <v>24</v>
      </c>
      <c r="C41" s="175">
        <v>1</v>
      </c>
      <c r="D41" s="94">
        <v>1</v>
      </c>
      <c r="E41" s="94">
        <v>1</v>
      </c>
      <c r="F41" s="94">
        <v>1</v>
      </c>
      <c r="G41" s="94">
        <v>1</v>
      </c>
      <c r="H41" s="94">
        <v>1</v>
      </c>
      <c r="I41" s="94">
        <v>1</v>
      </c>
      <c r="J41" s="94">
        <v>1</v>
      </c>
      <c r="K41" s="94">
        <v>1</v>
      </c>
      <c r="L41" s="94">
        <v>1</v>
      </c>
      <c r="M41" s="94">
        <v>1</v>
      </c>
      <c r="N41" s="94">
        <v>1</v>
      </c>
    </row>
    <row r="42" spans="1:14" x14ac:dyDescent="0.2">
      <c r="B42" s="305" t="s">
        <v>28</v>
      </c>
      <c r="C42" s="175">
        <v>1</v>
      </c>
      <c r="D42" s="94">
        <v>1</v>
      </c>
      <c r="E42" s="94">
        <v>1</v>
      </c>
      <c r="F42" s="94">
        <v>1</v>
      </c>
      <c r="G42" s="94">
        <v>1</v>
      </c>
      <c r="H42" s="94">
        <v>1</v>
      </c>
      <c r="I42" s="94">
        <v>1</v>
      </c>
      <c r="J42" s="94">
        <v>1</v>
      </c>
      <c r="K42" s="94">
        <v>1</v>
      </c>
      <c r="L42" s="94">
        <v>1</v>
      </c>
      <c r="M42" s="94">
        <v>1</v>
      </c>
      <c r="N42" s="94">
        <v>1</v>
      </c>
    </row>
    <row r="43" spans="1:14" x14ac:dyDescent="0.2">
      <c r="B43" s="305" t="s">
        <v>39</v>
      </c>
      <c r="C43" s="175">
        <v>1</v>
      </c>
      <c r="D43" s="94">
        <v>1</v>
      </c>
      <c r="E43" s="94">
        <v>1</v>
      </c>
      <c r="F43" s="94">
        <v>1</v>
      </c>
      <c r="G43" s="94">
        <v>1</v>
      </c>
      <c r="H43" s="94">
        <v>1</v>
      </c>
      <c r="I43" s="94">
        <v>1</v>
      </c>
      <c r="J43" s="94">
        <v>1</v>
      </c>
      <c r="K43" s="94">
        <v>1</v>
      </c>
      <c r="L43" s="94">
        <v>1</v>
      </c>
      <c r="M43" s="94">
        <v>1</v>
      </c>
      <c r="N43" s="94">
        <v>1</v>
      </c>
    </row>
    <row r="44" spans="1:14" x14ac:dyDescent="0.2">
      <c r="B44" s="305" t="s">
        <v>40</v>
      </c>
      <c r="C44" s="175">
        <v>1</v>
      </c>
      <c r="D44" s="94">
        <v>1</v>
      </c>
      <c r="E44" s="94">
        <v>1</v>
      </c>
      <c r="F44" s="94">
        <v>1</v>
      </c>
      <c r="G44" s="94">
        <v>1</v>
      </c>
      <c r="H44" s="94">
        <v>1</v>
      </c>
      <c r="I44" s="94">
        <v>1</v>
      </c>
      <c r="J44" s="94">
        <v>1</v>
      </c>
      <c r="K44" s="94">
        <v>1</v>
      </c>
      <c r="L44" s="94">
        <v>1</v>
      </c>
      <c r="M44" s="94">
        <v>1</v>
      </c>
      <c r="N44" s="94">
        <v>1</v>
      </c>
    </row>
    <row r="45" spans="1:14" x14ac:dyDescent="0.2">
      <c r="B45" s="305" t="s">
        <v>41</v>
      </c>
      <c r="C45" s="175">
        <v>1</v>
      </c>
      <c r="D45" s="94">
        <v>1</v>
      </c>
      <c r="E45" s="94">
        <v>1</v>
      </c>
      <c r="F45" s="94">
        <v>1</v>
      </c>
      <c r="G45" s="94">
        <v>1</v>
      </c>
      <c r="H45" s="94">
        <v>1</v>
      </c>
      <c r="I45" s="94">
        <v>1</v>
      </c>
      <c r="J45" s="94">
        <v>1</v>
      </c>
      <c r="K45" s="94">
        <v>1</v>
      </c>
      <c r="L45" s="94">
        <v>1</v>
      </c>
      <c r="M45" s="94">
        <v>1</v>
      </c>
      <c r="N45" s="94">
        <v>1</v>
      </c>
    </row>
    <row r="46" spans="1:14" x14ac:dyDescent="0.2">
      <c r="B46" s="305" t="s">
        <v>42</v>
      </c>
      <c r="C46" s="175">
        <v>1</v>
      </c>
      <c r="D46" s="94">
        <v>1</v>
      </c>
      <c r="E46" s="94">
        <v>1</v>
      </c>
      <c r="F46" s="94">
        <v>1</v>
      </c>
      <c r="G46" s="94">
        <v>1</v>
      </c>
      <c r="H46" s="94">
        <v>1</v>
      </c>
      <c r="I46" s="94">
        <v>1</v>
      </c>
      <c r="J46" s="94">
        <v>1</v>
      </c>
      <c r="K46" s="94">
        <v>1</v>
      </c>
      <c r="L46" s="94">
        <v>1</v>
      </c>
      <c r="M46" s="94">
        <v>1</v>
      </c>
      <c r="N46" s="94">
        <v>1</v>
      </c>
    </row>
    <row r="47" spans="1:14" x14ac:dyDescent="0.2">
      <c r="B47" s="305" t="s">
        <v>43</v>
      </c>
      <c r="C47" s="175">
        <v>1</v>
      </c>
      <c r="D47" s="94">
        <v>1</v>
      </c>
      <c r="E47" s="94">
        <v>1</v>
      </c>
      <c r="F47" s="94">
        <v>1</v>
      </c>
      <c r="G47" s="94">
        <v>1</v>
      </c>
      <c r="H47" s="94">
        <v>1</v>
      </c>
      <c r="I47" s="94">
        <v>1</v>
      </c>
      <c r="J47" s="94">
        <v>1</v>
      </c>
      <c r="K47" s="94">
        <v>1</v>
      </c>
      <c r="L47" s="94">
        <v>1</v>
      </c>
      <c r="M47" s="94">
        <v>1</v>
      </c>
      <c r="N47" s="94">
        <v>1</v>
      </c>
    </row>
    <row r="48" spans="1:14" x14ac:dyDescent="0.2">
      <c r="B48" s="305" t="s">
        <v>22</v>
      </c>
      <c r="C48" s="175">
        <v>1</v>
      </c>
      <c r="D48" s="94">
        <v>1</v>
      </c>
      <c r="E48" s="94">
        <v>1</v>
      </c>
      <c r="F48" s="94">
        <v>1</v>
      </c>
      <c r="G48" s="94">
        <v>1</v>
      </c>
      <c r="H48" s="94">
        <v>1</v>
      </c>
      <c r="I48" s="94">
        <v>1</v>
      </c>
      <c r="J48" s="94">
        <v>1</v>
      </c>
      <c r="K48" s="94">
        <v>1</v>
      </c>
      <c r="L48" s="94">
        <v>1</v>
      </c>
      <c r="M48" s="94">
        <v>1</v>
      </c>
      <c r="N48" s="94">
        <v>1</v>
      </c>
    </row>
    <row r="49" spans="1:18" x14ac:dyDescent="0.2">
      <c r="B49" s="305" t="s">
        <v>44</v>
      </c>
      <c r="C49" s="175">
        <v>1</v>
      </c>
      <c r="D49" s="94">
        <v>1</v>
      </c>
      <c r="E49" s="94">
        <v>1</v>
      </c>
      <c r="F49" s="94">
        <v>1</v>
      </c>
      <c r="G49" s="94">
        <v>1</v>
      </c>
      <c r="H49" s="94">
        <v>1</v>
      </c>
      <c r="I49" s="94">
        <v>1</v>
      </c>
      <c r="J49" s="94">
        <v>1</v>
      </c>
      <c r="K49" s="94">
        <v>1</v>
      </c>
      <c r="L49" s="94">
        <v>1</v>
      </c>
      <c r="M49" s="94">
        <v>1</v>
      </c>
      <c r="N49" s="94">
        <v>1</v>
      </c>
    </row>
    <row r="50" spans="1:18" ht="12.75" x14ac:dyDescent="0.2">
      <c r="B50" s="305" t="s">
        <v>45</v>
      </c>
      <c r="C50" s="175">
        <v>1</v>
      </c>
      <c r="D50" s="94">
        <v>1</v>
      </c>
      <c r="E50" s="94">
        <v>1</v>
      </c>
      <c r="F50" s="94">
        <v>1</v>
      </c>
      <c r="G50" s="94">
        <v>1</v>
      </c>
      <c r="H50" s="94">
        <v>1</v>
      </c>
      <c r="I50" s="94">
        <v>1</v>
      </c>
      <c r="J50" s="94">
        <v>1</v>
      </c>
      <c r="K50" s="94">
        <v>1</v>
      </c>
      <c r="L50" s="94">
        <v>1</v>
      </c>
      <c r="M50" s="94">
        <v>1</v>
      </c>
      <c r="N50" s="94">
        <v>1</v>
      </c>
      <c r="R50" s="142"/>
    </row>
    <row r="51" spans="1:18" ht="14.25" customHeight="1" x14ac:dyDescent="0.2">
      <c r="C51" s="92"/>
      <c r="D51" s="94"/>
      <c r="E51" s="94"/>
      <c r="F51" s="94"/>
      <c r="G51" s="94"/>
      <c r="H51" s="94"/>
      <c r="I51" s="94"/>
      <c r="J51" s="94"/>
      <c r="K51" s="94"/>
      <c r="L51" s="94"/>
      <c r="M51" s="94"/>
      <c r="N51" s="94"/>
      <c r="P51" s="328"/>
      <c r="R51" s="142"/>
    </row>
    <row r="52" spans="1:18" ht="12.75" x14ac:dyDescent="0.2">
      <c r="A52" s="305" t="s">
        <v>46</v>
      </c>
      <c r="C52" s="92">
        <f>+C65/C37</f>
        <v>0.99999999999999967</v>
      </c>
      <c r="D52" s="94">
        <v>1</v>
      </c>
      <c r="E52" s="94">
        <v>1</v>
      </c>
      <c r="F52" s="94">
        <v>1</v>
      </c>
      <c r="G52" s="94">
        <v>1</v>
      </c>
      <c r="H52" s="94">
        <v>1</v>
      </c>
      <c r="I52" s="94">
        <v>1</v>
      </c>
      <c r="J52" s="94">
        <v>1</v>
      </c>
      <c r="K52" s="94">
        <v>1</v>
      </c>
      <c r="L52" s="94">
        <v>1</v>
      </c>
      <c r="M52" s="94">
        <v>1</v>
      </c>
      <c r="N52" s="94">
        <v>1</v>
      </c>
      <c r="P52" s="319"/>
      <c r="R52" s="142"/>
    </row>
    <row r="53" spans="1:18" ht="12.75" x14ac:dyDescent="0.2">
      <c r="L53" s="92"/>
      <c r="N53" s="94"/>
      <c r="P53" s="319"/>
      <c r="Q53" s="328"/>
      <c r="R53" s="142"/>
    </row>
    <row r="54" spans="1:18" ht="12.75" x14ac:dyDescent="0.2">
      <c r="A54" s="327" t="s">
        <v>49</v>
      </c>
      <c r="L54" s="92"/>
      <c r="N54" s="94"/>
      <c r="P54" s="319"/>
      <c r="Q54" s="142"/>
      <c r="R54" s="142"/>
    </row>
    <row r="55" spans="1:18" ht="12.75" x14ac:dyDescent="0.2">
      <c r="B55" s="305" t="s">
        <v>24</v>
      </c>
      <c r="C55" s="70">
        <f t="shared" ref="C55:N55" si="27">+C27*C41</f>
        <v>111.5907</v>
      </c>
      <c r="D55" s="70">
        <f t="shared" si="27"/>
        <v>110.58645000000001</v>
      </c>
      <c r="E55" s="70">
        <f t="shared" si="27"/>
        <v>106.91459999999999</v>
      </c>
      <c r="F55" s="70">
        <f t="shared" si="27"/>
        <v>112.476</v>
      </c>
      <c r="G55" s="70">
        <f t="shared" si="27"/>
        <v>109.7655</v>
      </c>
      <c r="H55" s="70">
        <f t="shared" si="27"/>
        <v>101.27325</v>
      </c>
      <c r="I55" s="70">
        <f t="shared" si="27"/>
        <v>117.78195000000001</v>
      </c>
      <c r="J55" s="70">
        <f t="shared" si="27"/>
        <v>116.3916</v>
      </c>
      <c r="K55" s="70">
        <f t="shared" si="27"/>
        <v>152.2638</v>
      </c>
      <c r="L55" s="70">
        <f t="shared" si="27"/>
        <v>103.65225</v>
      </c>
      <c r="M55" s="70">
        <f t="shared" si="27"/>
        <v>119.9757</v>
      </c>
      <c r="N55" s="70">
        <f t="shared" si="27"/>
        <v>0</v>
      </c>
      <c r="P55" s="319"/>
      <c r="Q55" s="142"/>
      <c r="R55" s="142"/>
    </row>
    <row r="56" spans="1:18" ht="12.75" x14ac:dyDescent="0.2">
      <c r="B56" s="305" t="s">
        <v>28</v>
      </c>
      <c r="C56" s="70">
        <f t="shared" ref="C56:N56" si="28">+C28*C42</f>
        <v>101.976732</v>
      </c>
      <c r="D56" s="70">
        <f t="shared" si="28"/>
        <v>101.05900200000001</v>
      </c>
      <c r="E56" s="70">
        <f t="shared" si="28"/>
        <v>97.703495999999987</v>
      </c>
      <c r="F56" s="70">
        <f t="shared" si="28"/>
        <v>102.78576</v>
      </c>
      <c r="G56" s="70">
        <f t="shared" si="28"/>
        <v>100.30878</v>
      </c>
      <c r="H56" s="70">
        <f t="shared" si="28"/>
        <v>92.548169999999999</v>
      </c>
      <c r="I56" s="70">
        <f t="shared" si="28"/>
        <v>107.63458199999999</v>
      </c>
      <c r="J56" s="70">
        <f t="shared" si="28"/>
        <v>106.36401599999999</v>
      </c>
      <c r="K56" s="70">
        <f t="shared" si="28"/>
        <v>139.14568800000001</v>
      </c>
      <c r="L56" s="70">
        <f t="shared" si="28"/>
        <v>94.72220999999999</v>
      </c>
      <c r="M56" s="70">
        <f t="shared" si="28"/>
        <v>109.639332</v>
      </c>
      <c r="N56" s="70">
        <f t="shared" si="28"/>
        <v>106.486974</v>
      </c>
      <c r="P56" s="319"/>
      <c r="Q56" s="142"/>
      <c r="R56" s="142"/>
    </row>
    <row r="57" spans="1:18" ht="12.75" x14ac:dyDescent="0.2">
      <c r="B57" s="305" t="s">
        <v>39</v>
      </c>
      <c r="C57" s="70">
        <f t="shared" ref="C57:N57" si="29">+C29*C43</f>
        <v>0</v>
      </c>
      <c r="D57" s="70">
        <f t="shared" si="29"/>
        <v>0</v>
      </c>
      <c r="E57" s="70">
        <f t="shared" si="29"/>
        <v>0</v>
      </c>
      <c r="F57" s="70">
        <f t="shared" si="29"/>
        <v>0</v>
      </c>
      <c r="G57" s="70">
        <f t="shared" si="29"/>
        <v>0</v>
      </c>
      <c r="H57" s="70">
        <f t="shared" si="29"/>
        <v>0</v>
      </c>
      <c r="I57" s="70">
        <f t="shared" si="29"/>
        <v>0</v>
      </c>
      <c r="J57" s="70">
        <f t="shared" si="29"/>
        <v>0</v>
      </c>
      <c r="K57" s="70">
        <f t="shared" si="29"/>
        <v>0</v>
      </c>
      <c r="L57" s="70">
        <f t="shared" si="29"/>
        <v>0</v>
      </c>
      <c r="M57" s="70">
        <f t="shared" si="29"/>
        <v>0</v>
      </c>
      <c r="N57" s="70">
        <f t="shared" si="29"/>
        <v>0</v>
      </c>
      <c r="P57" s="319"/>
      <c r="Q57" s="142"/>
      <c r="R57" s="142"/>
    </row>
    <row r="58" spans="1:18" ht="12.75" x14ac:dyDescent="0.2">
      <c r="B58" s="305" t="s">
        <v>40</v>
      </c>
      <c r="C58" s="70">
        <f t="shared" ref="C58:N58" si="30">+C30*C44</f>
        <v>9.4422899999999998</v>
      </c>
      <c r="D58" s="70">
        <f t="shared" si="30"/>
        <v>9.3573149999999998</v>
      </c>
      <c r="E58" s="70">
        <f t="shared" si="30"/>
        <v>9.0466200000000008</v>
      </c>
      <c r="F58" s="70">
        <f t="shared" si="30"/>
        <v>9.517199999999999</v>
      </c>
      <c r="G58" s="70">
        <f t="shared" si="30"/>
        <v>9.2878500000000006</v>
      </c>
      <c r="H58" s="70">
        <f t="shared" si="30"/>
        <v>8.5692750000000011</v>
      </c>
      <c r="I58" s="70">
        <f t="shared" si="30"/>
        <v>9.9661650000000002</v>
      </c>
      <c r="J58" s="70">
        <f t="shared" si="30"/>
        <v>9.8485200000000006</v>
      </c>
      <c r="K58" s="70">
        <f t="shared" si="30"/>
        <v>12.88386</v>
      </c>
      <c r="L58" s="70">
        <f t="shared" si="30"/>
        <v>8.7705749999999991</v>
      </c>
      <c r="M58" s="70">
        <f t="shared" si="30"/>
        <v>10.15179</v>
      </c>
      <c r="N58" s="70">
        <f t="shared" si="30"/>
        <v>9.8599050000000013</v>
      </c>
      <c r="P58" s="319"/>
      <c r="Q58" s="142"/>
    </row>
    <row r="59" spans="1:18" ht="12.75" x14ac:dyDescent="0.2">
      <c r="B59" s="305" t="s">
        <v>41</v>
      </c>
      <c r="C59" s="70">
        <f t="shared" ref="C59:N59" si="31">+C31*C45</f>
        <v>25.694474</v>
      </c>
      <c r="D59" s="70">
        <f t="shared" si="31"/>
        <v>25.463239000000002</v>
      </c>
      <c r="E59" s="70">
        <f t="shared" si="31"/>
        <v>24.617771999999999</v>
      </c>
      <c r="F59" s="70">
        <f t="shared" si="31"/>
        <v>25.898319999999998</v>
      </c>
      <c r="G59" s="70">
        <f t="shared" si="31"/>
        <v>25.27421</v>
      </c>
      <c r="H59" s="70">
        <f t="shared" si="31"/>
        <v>23.318815000000001</v>
      </c>
      <c r="I59" s="70">
        <f t="shared" si="31"/>
        <v>27.120049000000002</v>
      </c>
      <c r="J59" s="70">
        <f t="shared" si="31"/>
        <v>26.799912000000003</v>
      </c>
      <c r="K59" s="70">
        <f t="shared" si="31"/>
        <v>35.059716000000002</v>
      </c>
      <c r="L59" s="70">
        <f t="shared" si="31"/>
        <v>23.866595</v>
      </c>
      <c r="M59" s="70">
        <f t="shared" si="31"/>
        <v>27.625174000000001</v>
      </c>
      <c r="N59" s="70">
        <f t="shared" si="31"/>
        <v>26.830893000000003</v>
      </c>
      <c r="P59" s="319"/>
      <c r="Q59" s="142"/>
    </row>
    <row r="60" spans="1:18" ht="12.75" x14ac:dyDescent="0.2">
      <c r="B60" s="305" t="s">
        <v>42</v>
      </c>
      <c r="C60" s="95">
        <f t="shared" ref="C60:N60" si="32">+C32*C46</f>
        <v>4.2919499999999999</v>
      </c>
      <c r="D60" s="95">
        <f t="shared" si="32"/>
        <v>4.2533250000000002</v>
      </c>
      <c r="E60" s="95">
        <f t="shared" si="32"/>
        <v>4.1120999999999999</v>
      </c>
      <c r="F60" s="95">
        <f t="shared" si="32"/>
        <v>4.3259999999999996</v>
      </c>
      <c r="G60" s="95">
        <f t="shared" si="32"/>
        <v>4.2217500000000001</v>
      </c>
      <c r="H60" s="95">
        <f t="shared" si="32"/>
        <v>3.8951250000000002</v>
      </c>
      <c r="I60" s="95">
        <f t="shared" si="32"/>
        <v>4.5300750000000001</v>
      </c>
      <c r="J60" s="95">
        <f t="shared" si="32"/>
        <v>4.4765999999999995</v>
      </c>
      <c r="K60" s="95">
        <f t="shared" si="32"/>
        <v>5.8563000000000001</v>
      </c>
      <c r="L60" s="95">
        <f t="shared" si="32"/>
        <v>3.9866249999999996</v>
      </c>
      <c r="M60" s="95">
        <f t="shared" si="32"/>
        <v>4.6144499999999997</v>
      </c>
      <c r="N60" s="95">
        <f t="shared" si="32"/>
        <v>4.4817749999999998</v>
      </c>
      <c r="P60" s="319"/>
      <c r="Q60" s="142"/>
    </row>
    <row r="61" spans="1:18" ht="12.75" x14ac:dyDescent="0.2">
      <c r="B61" s="305" t="s">
        <v>43</v>
      </c>
      <c r="C61" s="70">
        <f t="shared" ref="C61:N61" si="33">+C33*C47</f>
        <v>0</v>
      </c>
      <c r="D61" s="70">
        <f t="shared" si="33"/>
        <v>0</v>
      </c>
      <c r="E61" s="70">
        <f t="shared" si="33"/>
        <v>0</v>
      </c>
      <c r="F61" s="70">
        <f t="shared" si="33"/>
        <v>0</v>
      </c>
      <c r="G61" s="70">
        <f t="shared" si="33"/>
        <v>0</v>
      </c>
      <c r="H61" s="70">
        <f t="shared" si="33"/>
        <v>0</v>
      </c>
      <c r="I61" s="70">
        <f t="shared" si="33"/>
        <v>0</v>
      </c>
      <c r="J61" s="70">
        <f t="shared" si="33"/>
        <v>0</v>
      </c>
      <c r="K61" s="70">
        <f t="shared" si="33"/>
        <v>0</v>
      </c>
      <c r="L61" s="70">
        <f t="shared" si="33"/>
        <v>0</v>
      </c>
      <c r="M61" s="70">
        <f t="shared" si="33"/>
        <v>0</v>
      </c>
      <c r="N61" s="70">
        <f t="shared" si="33"/>
        <v>0</v>
      </c>
      <c r="P61" s="319"/>
      <c r="Q61" s="142"/>
    </row>
    <row r="62" spans="1:18" x14ac:dyDescent="0.2">
      <c r="B62" s="305" t="s">
        <v>36</v>
      </c>
      <c r="C62" s="70">
        <f t="shared" ref="C62:N62" si="34">+C34*C48</f>
        <v>101.17556800000001</v>
      </c>
      <c r="D62" s="70">
        <f t="shared" si="34"/>
        <v>100.26504800000001</v>
      </c>
      <c r="E62" s="70">
        <f t="shared" si="34"/>
        <v>96.935904000000008</v>
      </c>
      <c r="F62" s="70">
        <f t="shared" si="34"/>
        <v>101.97824</v>
      </c>
      <c r="G62" s="70">
        <f t="shared" si="34"/>
        <v>99.520719999999997</v>
      </c>
      <c r="H62" s="70">
        <f t="shared" si="34"/>
        <v>91.821080000000009</v>
      </c>
      <c r="I62" s="70">
        <f t="shared" si="34"/>
        <v>106.78896800000001</v>
      </c>
      <c r="J62" s="70">
        <f t="shared" si="34"/>
        <v>105.528384</v>
      </c>
      <c r="K62" s="70">
        <f t="shared" si="34"/>
        <v>138.05251200000001</v>
      </c>
      <c r="L62" s="70">
        <f t="shared" si="34"/>
        <v>93.978039999999993</v>
      </c>
      <c r="M62" s="70">
        <f t="shared" si="34"/>
        <v>108.777968</v>
      </c>
      <c r="N62" s="70">
        <f t="shared" si="34"/>
        <v>105.65037600000002</v>
      </c>
    </row>
    <row r="63" spans="1:18" x14ac:dyDescent="0.2">
      <c r="B63" s="305" t="s">
        <v>44</v>
      </c>
      <c r="C63" s="70">
        <f t="shared" ref="C63:N63" si="35">+C35*C49</f>
        <v>0</v>
      </c>
      <c r="D63" s="70">
        <f t="shared" si="35"/>
        <v>0</v>
      </c>
      <c r="E63" s="70">
        <f t="shared" si="35"/>
        <v>0</v>
      </c>
      <c r="F63" s="70">
        <f t="shared" si="35"/>
        <v>0</v>
      </c>
      <c r="G63" s="70">
        <f t="shared" si="35"/>
        <v>0</v>
      </c>
      <c r="H63" s="70">
        <f t="shared" si="35"/>
        <v>0</v>
      </c>
      <c r="I63" s="70">
        <f t="shared" si="35"/>
        <v>0</v>
      </c>
      <c r="J63" s="70">
        <f t="shared" si="35"/>
        <v>0</v>
      </c>
      <c r="K63" s="70">
        <f t="shared" si="35"/>
        <v>0</v>
      </c>
      <c r="L63" s="70">
        <f t="shared" si="35"/>
        <v>0</v>
      </c>
      <c r="M63" s="70">
        <f t="shared" si="35"/>
        <v>0</v>
      </c>
      <c r="N63" s="70">
        <f t="shared" si="35"/>
        <v>0</v>
      </c>
    </row>
    <row r="64" spans="1:18" x14ac:dyDescent="0.2">
      <c r="B64" s="305" t="s">
        <v>45</v>
      </c>
      <c r="C64" s="70">
        <f t="shared" ref="C64:N64" si="36">+C36*C50</f>
        <v>33.935018000000078</v>
      </c>
      <c r="D64" s="70">
        <f t="shared" si="36"/>
        <v>33.629623000000073</v>
      </c>
      <c r="E64" s="70">
        <f t="shared" si="36"/>
        <v>32.513004000000073</v>
      </c>
      <c r="F64" s="70">
        <f t="shared" si="36"/>
        <v>34.20424000000007</v>
      </c>
      <c r="G64" s="70">
        <f t="shared" si="36"/>
        <v>33.379970000000071</v>
      </c>
      <c r="H64" s="70">
        <f t="shared" si="36"/>
        <v>30.79745500000007</v>
      </c>
      <c r="I64" s="70">
        <f t="shared" si="36"/>
        <v>35.81779300000008</v>
      </c>
      <c r="J64" s="70">
        <f t="shared" si="36"/>
        <v>35.394984000000079</v>
      </c>
      <c r="K64" s="70">
        <f t="shared" si="36"/>
        <v>46.303812000000107</v>
      </c>
      <c r="L64" s="70">
        <f t="shared" si="36"/>
        <v>31.520915000000066</v>
      </c>
      <c r="M64" s="70">
        <f t="shared" si="36"/>
        <v>36.484918000000079</v>
      </c>
      <c r="N64" s="70">
        <f t="shared" si="36"/>
        <v>35.435901000000079</v>
      </c>
    </row>
    <row r="65" spans="1:21" x14ac:dyDescent="0.2">
      <c r="B65" s="305" t="s">
        <v>46</v>
      </c>
      <c r="C65" s="87">
        <f t="shared" ref="C65:N65" si="37">+C7-SUM(C55:C64)</f>
        <v>184.15326799999991</v>
      </c>
      <c r="D65" s="87">
        <f t="shared" si="37"/>
        <v>182.49599799999987</v>
      </c>
      <c r="E65" s="87">
        <f t="shared" si="37"/>
        <v>176.4365039999999</v>
      </c>
      <c r="F65" s="87">
        <f t="shared" si="37"/>
        <v>185.61423999999988</v>
      </c>
      <c r="G65" s="87">
        <f t="shared" si="37"/>
        <v>181.14121999999992</v>
      </c>
      <c r="H65" s="87">
        <f t="shared" si="37"/>
        <v>167.12682999999993</v>
      </c>
      <c r="I65" s="87">
        <f t="shared" si="37"/>
        <v>194.37041799999986</v>
      </c>
      <c r="J65" s="87">
        <f t="shared" si="37"/>
        <v>192.07598399999989</v>
      </c>
      <c r="K65" s="87">
        <f t="shared" si="37"/>
        <v>251.2743119999999</v>
      </c>
      <c r="L65" s="87">
        <f t="shared" si="37"/>
        <v>171.0527899999999</v>
      </c>
      <c r="M65" s="87">
        <f t="shared" si="37"/>
        <v>197.99066799999991</v>
      </c>
      <c r="N65" s="87">
        <f t="shared" si="37"/>
        <v>308.82417599999997</v>
      </c>
    </row>
    <row r="66" spans="1:21" ht="13.5" customHeight="1" x14ac:dyDescent="0.2">
      <c r="C66" s="70">
        <f t="shared" ref="C66:N66" si="38">SUM(C55:C65)</f>
        <v>572.26</v>
      </c>
      <c r="D66" s="70">
        <f t="shared" si="38"/>
        <v>567.11</v>
      </c>
      <c r="E66" s="70">
        <f t="shared" si="38"/>
        <v>548.28</v>
      </c>
      <c r="F66" s="70">
        <f t="shared" si="38"/>
        <v>576.79999999999995</v>
      </c>
      <c r="G66" s="70">
        <f t="shared" si="38"/>
        <v>562.9</v>
      </c>
      <c r="H66" s="70">
        <f t="shared" si="38"/>
        <v>519.35</v>
      </c>
      <c r="I66" s="70">
        <f t="shared" si="38"/>
        <v>604.01</v>
      </c>
      <c r="J66" s="70">
        <f t="shared" si="38"/>
        <v>596.88</v>
      </c>
      <c r="K66" s="70">
        <f t="shared" si="38"/>
        <v>780.84</v>
      </c>
      <c r="L66" s="70">
        <f t="shared" si="38"/>
        <v>531.54999999999995</v>
      </c>
      <c r="M66" s="70">
        <f t="shared" si="38"/>
        <v>615.26</v>
      </c>
      <c r="N66" s="70">
        <f t="shared" si="38"/>
        <v>597.57000000000005</v>
      </c>
    </row>
    <row r="67" spans="1:21" ht="9.75" customHeight="1" x14ac:dyDescent="0.2">
      <c r="P67" s="337" t="s">
        <v>80</v>
      </c>
      <c r="S67" s="339" t="s">
        <v>71</v>
      </c>
      <c r="T67" s="310" t="s">
        <v>69</v>
      </c>
    </row>
    <row r="68" spans="1:21" ht="12.75" x14ac:dyDescent="0.2">
      <c r="A68" s="338" t="s">
        <v>50</v>
      </c>
      <c r="P68" s="337" t="s">
        <v>75</v>
      </c>
      <c r="R68" s="305" t="s">
        <v>70</v>
      </c>
      <c r="S68" s="305" t="s">
        <v>219</v>
      </c>
      <c r="T68" s="336" t="str">
        <f>TEXT(C6,"mm/yy")&amp;" - "&amp;TEXT(N6,"mm/yy")</f>
        <v>05/17 - 04/18</v>
      </c>
      <c r="U68" s="305" t="s">
        <v>218</v>
      </c>
    </row>
    <row r="69" spans="1:21" ht="12" x14ac:dyDescent="0.2">
      <c r="B69" s="305" t="s">
        <v>24</v>
      </c>
      <c r="C69" s="365">
        <v>65.3</v>
      </c>
      <c r="D69" s="365">
        <v>85.06</v>
      </c>
      <c r="E69" s="365">
        <v>98.56</v>
      </c>
      <c r="F69" s="365">
        <v>81.63</v>
      </c>
      <c r="G69" s="366">
        <v>63.02</v>
      </c>
      <c r="H69" s="366">
        <v>60.33</v>
      </c>
      <c r="I69" s="365">
        <v>65.930000000000007</v>
      </c>
      <c r="J69" s="365">
        <v>63.69</v>
      </c>
      <c r="K69" s="365">
        <v>39.799999999999997</v>
      </c>
      <c r="L69" s="364">
        <v>-18.13</v>
      </c>
      <c r="M69" s="364">
        <v>-16.23</v>
      </c>
      <c r="N69" s="364">
        <v>0</v>
      </c>
      <c r="P69" s="335">
        <f t="shared" ref="P69:P79" si="39">AVERAGE(C69:N69)</f>
        <v>49.079999999999991</v>
      </c>
      <c r="R69" s="305" t="str">
        <f t="shared" ref="R69:R79" si="40">+B69</f>
        <v>ONP</v>
      </c>
      <c r="S69" s="132">
        <f>'[13]Single Family'!$N$69*'[13]Single Family'!$N$13</f>
        <v>13.357889999999999</v>
      </c>
      <c r="T69" s="133">
        <f t="shared" ref="T69:T79" si="41">P69*N13</f>
        <v>0</v>
      </c>
      <c r="U69" s="330">
        <f t="shared" ref="U69:U80" si="42">+T69-S69</f>
        <v>-13.357889999999999</v>
      </c>
    </row>
    <row r="70" spans="1:21" ht="12" x14ac:dyDescent="0.2">
      <c r="B70" s="305" t="s">
        <v>28</v>
      </c>
      <c r="C70" s="365">
        <v>132.68</v>
      </c>
      <c r="D70" s="365">
        <v>159.52000000000001</v>
      </c>
      <c r="E70" s="365">
        <v>163.29</v>
      </c>
      <c r="F70" s="365">
        <v>145.72999999999999</v>
      </c>
      <c r="G70" s="366">
        <v>110.68</v>
      </c>
      <c r="H70" s="366">
        <v>81.77</v>
      </c>
      <c r="I70" s="365">
        <v>114.18</v>
      </c>
      <c r="J70" s="365">
        <v>107.57</v>
      </c>
      <c r="K70" s="365">
        <v>105.09</v>
      </c>
      <c r="L70" s="365">
        <v>62.76</v>
      </c>
      <c r="M70" s="365">
        <v>56.69</v>
      </c>
      <c r="N70" s="365">
        <v>57.61</v>
      </c>
      <c r="P70" s="335">
        <f t="shared" si="39"/>
        <v>108.13083333333333</v>
      </c>
      <c r="R70" s="305" t="str">
        <f t="shared" si="40"/>
        <v>OCC</v>
      </c>
      <c r="S70" s="132">
        <f>'[13]Single Family'!$N$70*'[13]Single Family'!$N$14</f>
        <v>16.395825599999998</v>
      </c>
      <c r="T70" s="133">
        <f t="shared" si="41"/>
        <v>19.268914499999998</v>
      </c>
      <c r="U70" s="330">
        <f t="shared" si="42"/>
        <v>2.8730888999999991</v>
      </c>
    </row>
    <row r="71" spans="1:21" ht="12" x14ac:dyDescent="0.2">
      <c r="B71" s="305" t="s">
        <v>39</v>
      </c>
      <c r="C71" s="365">
        <v>0</v>
      </c>
      <c r="D71" s="365"/>
      <c r="E71" s="365"/>
      <c r="F71" s="365"/>
      <c r="G71" s="366"/>
      <c r="H71" s="366"/>
      <c r="I71" s="365"/>
      <c r="J71" s="365"/>
      <c r="K71" s="365"/>
      <c r="L71" s="365"/>
      <c r="M71" s="365"/>
      <c r="N71" s="365"/>
      <c r="P71" s="335">
        <f t="shared" si="39"/>
        <v>0</v>
      </c>
      <c r="R71" s="305" t="str">
        <f t="shared" si="40"/>
        <v>Magazines</v>
      </c>
      <c r="S71" s="132">
        <v>0</v>
      </c>
      <c r="T71" s="133">
        <f t="shared" si="41"/>
        <v>0</v>
      </c>
      <c r="U71" s="330">
        <f t="shared" si="42"/>
        <v>0</v>
      </c>
    </row>
    <row r="72" spans="1:21" ht="12" x14ac:dyDescent="0.2">
      <c r="B72" s="305" t="s">
        <v>40</v>
      </c>
      <c r="C72" s="365">
        <v>71.989999999999995</v>
      </c>
      <c r="D72" s="365">
        <v>69.08</v>
      </c>
      <c r="E72" s="365">
        <v>67.63</v>
      </c>
      <c r="F72" s="365">
        <v>78.11</v>
      </c>
      <c r="G72" s="366">
        <v>86.53</v>
      </c>
      <c r="H72" s="366">
        <v>76.06</v>
      </c>
      <c r="I72" s="365">
        <v>78.08</v>
      </c>
      <c r="J72" s="365">
        <v>88.61</v>
      </c>
      <c r="K72" s="365">
        <v>102.96</v>
      </c>
      <c r="L72" s="365">
        <v>92.72</v>
      </c>
      <c r="M72" s="365">
        <v>106.7</v>
      </c>
      <c r="N72" s="365">
        <v>109.51</v>
      </c>
      <c r="P72" s="335">
        <f t="shared" si="39"/>
        <v>85.66500000000002</v>
      </c>
      <c r="R72" s="305" t="str">
        <f t="shared" si="40"/>
        <v>Tin</v>
      </c>
      <c r="S72" s="132">
        <f>'[13]Single Family'!$N$72*'[13]Single Family'!$N$16</f>
        <v>0.88311299999999993</v>
      </c>
      <c r="T72" s="133">
        <f t="shared" si="41"/>
        <v>1.4134725000000004</v>
      </c>
      <c r="U72" s="330">
        <f t="shared" si="42"/>
        <v>0.53035950000000043</v>
      </c>
    </row>
    <row r="73" spans="1:21" ht="12" x14ac:dyDescent="0.2">
      <c r="B73" s="305" t="s">
        <v>41</v>
      </c>
      <c r="C73" s="365">
        <v>92.51</v>
      </c>
      <c r="D73" s="365">
        <v>70.599999999999994</v>
      </c>
      <c r="E73" s="365">
        <v>62.55</v>
      </c>
      <c r="F73" s="365">
        <v>83.03</v>
      </c>
      <c r="G73" s="366">
        <v>72.099999999999994</v>
      </c>
      <c r="H73" s="366">
        <v>48.29</v>
      </c>
      <c r="I73" s="365">
        <v>50.05</v>
      </c>
      <c r="J73" s="365">
        <v>51.67</v>
      </c>
      <c r="K73" s="365">
        <v>53.44</v>
      </c>
      <c r="L73" s="365">
        <v>85.33</v>
      </c>
      <c r="M73" s="365">
        <v>105.24</v>
      </c>
      <c r="N73" s="365">
        <v>107.91</v>
      </c>
      <c r="P73" s="335">
        <f t="shared" si="39"/>
        <v>73.56</v>
      </c>
      <c r="R73" s="305" t="str">
        <f t="shared" si="40"/>
        <v>Plastic</v>
      </c>
      <c r="S73" s="132">
        <f>'[13]Single Family'!$N$73*'[13]Single Family'!$N$17</f>
        <v>4.6139240000000008</v>
      </c>
      <c r="T73" s="133">
        <f t="shared" si="41"/>
        <v>3.3028440000000003</v>
      </c>
      <c r="U73" s="330">
        <f t="shared" si="42"/>
        <v>-1.3110800000000005</v>
      </c>
    </row>
    <row r="74" spans="1:21" ht="12" x14ac:dyDescent="0.2">
      <c r="B74" s="305" t="s">
        <v>42</v>
      </c>
      <c r="C74" s="365">
        <v>905.35</v>
      </c>
      <c r="D74" s="365">
        <v>894.34</v>
      </c>
      <c r="E74" s="365">
        <v>871.1</v>
      </c>
      <c r="F74" s="365">
        <v>905.36</v>
      </c>
      <c r="G74" s="366">
        <v>953.11</v>
      </c>
      <c r="H74" s="366">
        <v>980.71</v>
      </c>
      <c r="I74" s="365">
        <v>971.66</v>
      </c>
      <c r="J74" s="365">
        <v>973.36</v>
      </c>
      <c r="K74" s="365">
        <v>1013.02</v>
      </c>
      <c r="L74" s="365">
        <v>988.19</v>
      </c>
      <c r="M74" s="365">
        <v>977.91</v>
      </c>
      <c r="N74" s="365">
        <v>989.87</v>
      </c>
      <c r="P74" s="335">
        <f t="shared" si="39"/>
        <v>951.99833333333345</v>
      </c>
      <c r="R74" s="305" t="str">
        <f t="shared" si="40"/>
        <v>Aluminum</v>
      </c>
      <c r="S74" s="132">
        <f>'[13]Single Family'!$N$74*'[13]Single Family'!$N$18</f>
        <v>5.7225000000000001</v>
      </c>
      <c r="T74" s="133">
        <f t="shared" si="41"/>
        <v>7.139987500000001</v>
      </c>
      <c r="U74" s="330">
        <f t="shared" si="42"/>
        <v>1.4174875000000009</v>
      </c>
    </row>
    <row r="75" spans="1:21" ht="12" x14ac:dyDescent="0.2">
      <c r="B75" s="305" t="s">
        <v>43</v>
      </c>
      <c r="C75" s="365">
        <v>0</v>
      </c>
      <c r="D75" s="365"/>
      <c r="E75" s="365"/>
      <c r="F75" s="365"/>
      <c r="G75" s="366"/>
      <c r="H75" s="366"/>
      <c r="I75" s="365"/>
      <c r="J75" s="365"/>
      <c r="K75" s="365"/>
      <c r="L75" s="365"/>
      <c r="M75" s="365"/>
      <c r="N75" s="365"/>
      <c r="P75" s="335">
        <f t="shared" si="39"/>
        <v>0</v>
      </c>
      <c r="R75" s="305" t="str">
        <f t="shared" si="40"/>
        <v>Ferris Metal</v>
      </c>
      <c r="S75" s="132">
        <v>0</v>
      </c>
      <c r="T75" s="133">
        <f t="shared" si="41"/>
        <v>0</v>
      </c>
      <c r="U75" s="330">
        <f t="shared" si="42"/>
        <v>0</v>
      </c>
    </row>
    <row r="76" spans="1:21" ht="12" x14ac:dyDescent="0.2">
      <c r="B76" s="305" t="s">
        <v>36</v>
      </c>
      <c r="C76" s="365">
        <v>-15.91</v>
      </c>
      <c r="D76" s="365">
        <v>-6.4</v>
      </c>
      <c r="E76" s="365">
        <v>-6.61</v>
      </c>
      <c r="F76" s="365">
        <v>-4.34</v>
      </c>
      <c r="G76" s="366">
        <v>-5.61</v>
      </c>
      <c r="H76" s="366">
        <v>-8.7799999999999994</v>
      </c>
      <c r="I76" s="365">
        <v>-2.5099999999999998</v>
      </c>
      <c r="J76" s="365">
        <v>-9.4600000000000009</v>
      </c>
      <c r="K76" s="365">
        <v>-9.98</v>
      </c>
      <c r="L76" s="365">
        <v>-8.01</v>
      </c>
      <c r="M76" s="365">
        <v>-9</v>
      </c>
      <c r="N76" s="365">
        <v>-10.23</v>
      </c>
      <c r="P76" s="335">
        <f t="shared" si="39"/>
        <v>-8.0700000000000021</v>
      </c>
      <c r="R76" s="305" t="str">
        <f t="shared" si="40"/>
        <v>Sorted Glass</v>
      </c>
      <c r="S76" s="132">
        <f>'[13]Single Family'!$N$76*'[13]Single Family'!$N$20</f>
        <v>-1.1774880000000001</v>
      </c>
      <c r="T76" s="133">
        <f t="shared" si="41"/>
        <v>-1.4267760000000005</v>
      </c>
      <c r="U76" s="330">
        <f t="shared" si="42"/>
        <v>-0.2492880000000004</v>
      </c>
    </row>
    <row r="77" spans="1:21" ht="12" x14ac:dyDescent="0.2">
      <c r="B77" s="305" t="s">
        <v>44</v>
      </c>
      <c r="C77" s="364"/>
      <c r="D77" s="364"/>
      <c r="E77" s="364"/>
      <c r="F77" s="364"/>
      <c r="G77" s="367"/>
      <c r="H77" s="367"/>
      <c r="I77" s="364"/>
      <c r="J77" s="364"/>
      <c r="K77" s="364"/>
      <c r="L77" s="364"/>
      <c r="M77" s="364"/>
      <c r="N77" s="364"/>
      <c r="P77" s="335" t="e">
        <f t="shared" si="39"/>
        <v>#DIV/0!</v>
      </c>
      <c r="R77" s="305" t="str">
        <f t="shared" si="40"/>
        <v>Glass Contamination</v>
      </c>
      <c r="S77" s="132">
        <f>'[14]Single Family'!$N$77*'[14]Single Family'!$N$21</f>
        <v>0</v>
      </c>
      <c r="T77" s="133" t="e">
        <f t="shared" si="41"/>
        <v>#DIV/0!</v>
      </c>
      <c r="U77" s="330" t="e">
        <f t="shared" si="42"/>
        <v>#DIV/0!</v>
      </c>
    </row>
    <row r="78" spans="1:21" ht="12" x14ac:dyDescent="0.2">
      <c r="B78" s="305" t="s">
        <v>45</v>
      </c>
      <c r="C78" s="364">
        <v>-134.59</v>
      </c>
      <c r="D78" s="364">
        <v>-134.59</v>
      </c>
      <c r="E78" s="364">
        <v>-134.59</v>
      </c>
      <c r="F78" s="364">
        <v>-134.59</v>
      </c>
      <c r="G78" s="367">
        <v>-134.59</v>
      </c>
      <c r="H78" s="367">
        <v>-134.59</v>
      </c>
      <c r="I78" s="364">
        <v>-134.59</v>
      </c>
      <c r="J78" s="364">
        <v>-134.59</v>
      </c>
      <c r="K78" s="364">
        <v>-134.59</v>
      </c>
      <c r="L78" s="364">
        <v>-134.59</v>
      </c>
      <c r="M78" s="364">
        <v>-134.59</v>
      </c>
      <c r="N78" s="364">
        <v>-134.59</v>
      </c>
      <c r="P78" s="335">
        <f t="shared" si="39"/>
        <v>-134.58999999999997</v>
      </c>
      <c r="R78" s="305" t="str">
        <f t="shared" si="40"/>
        <v>Trash</v>
      </c>
      <c r="S78" s="132">
        <f>'[14]Single Family'!$N$78*'[14]Single Family'!$N$22</f>
        <v>-7.1260810000000161</v>
      </c>
      <c r="T78" s="133">
        <f t="shared" si="41"/>
        <v>-7.9811870000000162</v>
      </c>
      <c r="U78" s="330">
        <f t="shared" si="42"/>
        <v>-0.85510600000000014</v>
      </c>
    </row>
    <row r="79" spans="1:21" ht="12.75" thickBot="1" x14ac:dyDescent="0.25">
      <c r="B79" s="305" t="s">
        <v>46</v>
      </c>
      <c r="C79" s="365">
        <v>60.14</v>
      </c>
      <c r="D79" s="365">
        <v>78.88</v>
      </c>
      <c r="E79" s="365">
        <v>93.44</v>
      </c>
      <c r="F79" s="365">
        <v>77.209999999999994</v>
      </c>
      <c r="G79" s="366">
        <v>57.85</v>
      </c>
      <c r="H79" s="366">
        <v>55.22</v>
      </c>
      <c r="I79" s="365">
        <v>52.85</v>
      </c>
      <c r="J79" s="365">
        <v>49.88</v>
      </c>
      <c r="K79" s="365">
        <v>40.17</v>
      </c>
      <c r="L79" s="364">
        <v>-21.81</v>
      </c>
      <c r="M79" s="364">
        <v>-21.39</v>
      </c>
      <c r="N79" s="364">
        <v>-20.59</v>
      </c>
      <c r="O79" s="330">
        <f>SUM(C69:N79)</f>
        <v>14011.14</v>
      </c>
      <c r="P79" s="335">
        <f t="shared" si="39"/>
        <v>41.82083333333334</v>
      </c>
      <c r="R79" s="305" t="str">
        <f t="shared" si="40"/>
        <v>Mixed Paper</v>
      </c>
      <c r="S79" s="132">
        <f>'[13]Single Family'!$N$79*'[13]Single Family'!$N$23</f>
        <v>20.604532199999998</v>
      </c>
      <c r="T79" s="133">
        <f t="shared" si="41"/>
        <v>21.613006666666671</v>
      </c>
      <c r="U79" s="330">
        <f t="shared" si="42"/>
        <v>1.008474466666673</v>
      </c>
    </row>
    <row r="80" spans="1:21" ht="11.25" customHeight="1" thickBot="1" x14ac:dyDescent="0.25">
      <c r="R80" s="327" t="s">
        <v>72</v>
      </c>
      <c r="S80" s="135">
        <f>SUMPRODUCT('[13]Single Family'!$N$69:$N$79,'[13]Single Family'!$N$13:$N$23)</f>
        <v>53.274215799999979</v>
      </c>
      <c r="T80" s="136" t="e">
        <f>SUMPRODUCT(P69:P79,N13:N23)</f>
        <v>#DIV/0!</v>
      </c>
      <c r="U80" s="330" t="e">
        <f t="shared" si="42"/>
        <v>#DIV/0!</v>
      </c>
    </row>
    <row r="81" spans="1:20" x14ac:dyDescent="0.2">
      <c r="A81" s="327" t="s">
        <v>51</v>
      </c>
      <c r="Q81" s="332"/>
      <c r="R81" s="332"/>
      <c r="S81" s="332"/>
      <c r="T81" s="332"/>
    </row>
    <row r="82" spans="1:20" x14ac:dyDescent="0.2">
      <c r="B82" s="305" t="s">
        <v>24</v>
      </c>
      <c r="C82" s="73">
        <f t="shared" ref="C82:N82" si="43">+C69*C55</f>
        <v>7286.8727099999996</v>
      </c>
      <c r="D82" s="70">
        <f t="shared" si="43"/>
        <v>9406.4834370000008</v>
      </c>
      <c r="E82" s="70">
        <f t="shared" si="43"/>
        <v>10537.502976</v>
      </c>
      <c r="F82" s="70">
        <f t="shared" si="43"/>
        <v>9181.4158799999987</v>
      </c>
      <c r="G82" s="70">
        <f t="shared" si="43"/>
        <v>6917.4218100000007</v>
      </c>
      <c r="H82" s="70">
        <f t="shared" si="43"/>
        <v>6109.8151724999998</v>
      </c>
      <c r="I82" s="70">
        <f t="shared" si="43"/>
        <v>7765.3639635000018</v>
      </c>
      <c r="J82" s="70">
        <f t="shared" si="43"/>
        <v>7412.9810039999993</v>
      </c>
      <c r="K82" s="70">
        <f t="shared" si="43"/>
        <v>6060.0992399999996</v>
      </c>
      <c r="L82" s="70">
        <f t="shared" si="43"/>
        <v>-1879.2152924999998</v>
      </c>
      <c r="M82" s="70">
        <f t="shared" si="43"/>
        <v>-1947.2056110000001</v>
      </c>
      <c r="N82" s="70">
        <f t="shared" si="43"/>
        <v>0</v>
      </c>
      <c r="Q82" s="332" t="s">
        <v>73</v>
      </c>
      <c r="R82" s="332"/>
      <c r="S82" s="332"/>
      <c r="T82" s="334" t="e">
        <f>+T80-S80</f>
        <v>#DIV/0!</v>
      </c>
    </row>
    <row r="83" spans="1:20" x14ac:dyDescent="0.2">
      <c r="B83" s="305" t="s">
        <v>28</v>
      </c>
      <c r="C83" s="73">
        <f t="shared" ref="C83:N83" si="44">+C70*C56</f>
        <v>13530.27280176</v>
      </c>
      <c r="D83" s="70">
        <f t="shared" si="44"/>
        <v>16120.931999040002</v>
      </c>
      <c r="E83" s="70">
        <f t="shared" si="44"/>
        <v>15954.003861839998</v>
      </c>
      <c r="F83" s="70">
        <f t="shared" si="44"/>
        <v>14978.968804799999</v>
      </c>
      <c r="G83" s="70">
        <f t="shared" si="44"/>
        <v>11102.175770400001</v>
      </c>
      <c r="H83" s="70">
        <f t="shared" si="44"/>
        <v>7567.6638608999992</v>
      </c>
      <c r="I83" s="70">
        <f t="shared" si="44"/>
        <v>12289.71657276</v>
      </c>
      <c r="J83" s="70">
        <f t="shared" si="44"/>
        <v>11441.577201119999</v>
      </c>
      <c r="K83" s="70">
        <f t="shared" si="44"/>
        <v>14622.820351920001</v>
      </c>
      <c r="L83" s="70">
        <f t="shared" si="44"/>
        <v>5944.7658995999991</v>
      </c>
      <c r="M83" s="70">
        <f t="shared" si="44"/>
        <v>6215.4537310799997</v>
      </c>
      <c r="N83" s="70">
        <f t="shared" si="44"/>
        <v>6134.7145721400002</v>
      </c>
      <c r="Q83" s="332" t="s">
        <v>217</v>
      </c>
      <c r="R83" s="332"/>
      <c r="S83" s="332"/>
      <c r="T83" s="145">
        <f>SUM(C7:N7, [15]Multi_Family!$C$7:$N$7,'[16]Single Family'!$C$7:$N$7, [17]Multi_Family!$C$7:$N$7, '[18]Single Family'!$C$7:$N$7, [19]Multi_Family!$C$7:$N$7)</f>
        <v>13340.519999999997</v>
      </c>
    </row>
    <row r="84" spans="1:20" x14ac:dyDescent="0.2">
      <c r="B84" s="305" t="s">
        <v>39</v>
      </c>
      <c r="C84" s="70">
        <f t="shared" ref="C84:D92" si="45">+C71*C57</f>
        <v>0</v>
      </c>
      <c r="D84" s="70">
        <f t="shared" si="45"/>
        <v>0</v>
      </c>
      <c r="E84" s="70" t="s">
        <v>77</v>
      </c>
      <c r="F84" s="70" t="s">
        <v>77</v>
      </c>
      <c r="G84" s="70" t="s">
        <v>77</v>
      </c>
      <c r="H84" s="70">
        <f t="shared" ref="H84:H92" si="46">+H71*H57</f>
        <v>0</v>
      </c>
      <c r="I84" s="70" t="s">
        <v>77</v>
      </c>
      <c r="J84" s="70" t="s">
        <v>77</v>
      </c>
      <c r="K84" s="70" t="s">
        <v>77</v>
      </c>
      <c r="L84" s="70" t="s">
        <v>77</v>
      </c>
      <c r="M84" s="70" t="s">
        <v>77</v>
      </c>
      <c r="N84" s="70" t="s">
        <v>77</v>
      </c>
      <c r="Q84" s="333" t="s">
        <v>216</v>
      </c>
      <c r="R84" s="333"/>
      <c r="S84" s="332"/>
      <c r="T84" s="148">
        <f>T83/8</f>
        <v>1667.5649999999996</v>
      </c>
    </row>
    <row r="85" spans="1:20" x14ac:dyDescent="0.2">
      <c r="B85" s="305" t="s">
        <v>40</v>
      </c>
      <c r="C85" s="73">
        <f t="shared" si="45"/>
        <v>679.75045709999995</v>
      </c>
      <c r="D85" s="70">
        <f t="shared" si="45"/>
        <v>646.40332019999994</v>
      </c>
      <c r="E85" s="70">
        <f t="shared" ref="E85:G87" si="47">+E72*E58</f>
        <v>611.8229106</v>
      </c>
      <c r="F85" s="70">
        <f t="shared" si="47"/>
        <v>743.38849199999993</v>
      </c>
      <c r="G85" s="70">
        <f t="shared" si="47"/>
        <v>803.67766050000012</v>
      </c>
      <c r="H85" s="70">
        <f t="shared" si="46"/>
        <v>651.77905650000014</v>
      </c>
      <c r="I85" s="70">
        <f t="shared" ref="I85:N87" si="48">+I72*I58</f>
        <v>778.15816319999999</v>
      </c>
      <c r="J85" s="70">
        <f t="shared" si="48"/>
        <v>872.67735720000007</v>
      </c>
      <c r="K85" s="70">
        <f t="shared" si="48"/>
        <v>1326.5222256</v>
      </c>
      <c r="L85" s="70">
        <f t="shared" si="48"/>
        <v>813.2077139999999</v>
      </c>
      <c r="M85" s="70">
        <f t="shared" si="48"/>
        <v>1083.195993</v>
      </c>
      <c r="N85" s="70">
        <f t="shared" si="48"/>
        <v>1079.7581965500001</v>
      </c>
      <c r="Q85" s="332" t="s">
        <v>74</v>
      </c>
      <c r="R85" s="332"/>
      <c r="S85" s="332"/>
      <c r="T85" s="147" t="e">
        <f>+T82*T83</f>
        <v>#DIV/0!</v>
      </c>
    </row>
    <row r="86" spans="1:20" x14ac:dyDescent="0.2">
      <c r="B86" s="305" t="s">
        <v>41</v>
      </c>
      <c r="C86" s="73">
        <f t="shared" si="45"/>
        <v>2376.99578974</v>
      </c>
      <c r="D86" s="70">
        <f t="shared" si="45"/>
        <v>1797.7046734</v>
      </c>
      <c r="E86" s="70">
        <f t="shared" si="47"/>
        <v>1539.8416385999999</v>
      </c>
      <c r="F86" s="70">
        <f t="shared" si="47"/>
        <v>2150.3375096</v>
      </c>
      <c r="G86" s="70">
        <f t="shared" si="47"/>
        <v>1822.2705409999999</v>
      </c>
      <c r="H86" s="70">
        <f t="shared" si="46"/>
        <v>1126.0655763500001</v>
      </c>
      <c r="I86" s="70">
        <f t="shared" si="48"/>
        <v>1357.35845245</v>
      </c>
      <c r="J86" s="70">
        <f t="shared" si="48"/>
        <v>1384.7514530400001</v>
      </c>
      <c r="K86" s="70">
        <f t="shared" si="48"/>
        <v>1873.5912230399999</v>
      </c>
      <c r="L86" s="70">
        <f t="shared" si="48"/>
        <v>2036.5365513500001</v>
      </c>
      <c r="M86" s="70">
        <f t="shared" si="48"/>
        <v>2907.2733117600001</v>
      </c>
      <c r="N86" s="70">
        <f t="shared" si="48"/>
        <v>2895.3216636300003</v>
      </c>
      <c r="Q86" s="332"/>
      <c r="R86" s="332"/>
      <c r="S86" s="332"/>
      <c r="T86" s="332"/>
    </row>
    <row r="87" spans="1:20" x14ac:dyDescent="0.2">
      <c r="B87" s="305" t="s">
        <v>42</v>
      </c>
      <c r="C87" s="73">
        <f t="shared" si="45"/>
        <v>3885.7169325</v>
      </c>
      <c r="D87" s="70">
        <f t="shared" si="45"/>
        <v>3803.9186805000004</v>
      </c>
      <c r="E87" s="70">
        <f t="shared" si="47"/>
        <v>3582.0503100000001</v>
      </c>
      <c r="F87" s="70">
        <f t="shared" si="47"/>
        <v>3916.5873599999995</v>
      </c>
      <c r="G87" s="70">
        <f t="shared" si="47"/>
        <v>4023.7921425</v>
      </c>
      <c r="H87" s="70">
        <f t="shared" si="46"/>
        <v>3819.9880387500002</v>
      </c>
      <c r="I87" s="70">
        <f t="shared" si="48"/>
        <v>4401.6926745000001</v>
      </c>
      <c r="J87" s="70">
        <f t="shared" si="48"/>
        <v>4357.3433759999998</v>
      </c>
      <c r="K87" s="70">
        <f t="shared" si="48"/>
        <v>5932.5490259999997</v>
      </c>
      <c r="L87" s="70">
        <f t="shared" si="48"/>
        <v>3939.5429587499998</v>
      </c>
      <c r="M87" s="70">
        <f t="shared" si="48"/>
        <v>4512.5167994999993</v>
      </c>
      <c r="N87" s="70">
        <f t="shared" si="48"/>
        <v>4436.3746192500003</v>
      </c>
    </row>
    <row r="88" spans="1:20" x14ac:dyDescent="0.2">
      <c r="B88" s="305" t="s">
        <v>43</v>
      </c>
      <c r="C88" s="73">
        <f t="shared" si="45"/>
        <v>0</v>
      </c>
      <c r="D88" s="70">
        <f t="shared" si="45"/>
        <v>0</v>
      </c>
      <c r="E88" s="70" t="s">
        <v>77</v>
      </c>
      <c r="F88" s="70" t="s">
        <v>77</v>
      </c>
      <c r="G88" s="70" t="s">
        <v>77</v>
      </c>
      <c r="H88" s="70">
        <f t="shared" si="46"/>
        <v>0</v>
      </c>
      <c r="I88" s="70" t="s">
        <v>77</v>
      </c>
      <c r="J88" s="70" t="s">
        <v>77</v>
      </c>
      <c r="K88" s="70" t="s">
        <v>77</v>
      </c>
      <c r="L88" s="70" t="s">
        <v>77</v>
      </c>
      <c r="M88" s="70" t="s">
        <v>77</v>
      </c>
      <c r="N88" s="70" t="s">
        <v>77</v>
      </c>
      <c r="P88" s="328"/>
      <c r="Q88" s="328"/>
    </row>
    <row r="89" spans="1:20" ht="12.75" x14ac:dyDescent="0.2">
      <c r="B89" s="305" t="s">
        <v>36</v>
      </c>
      <c r="C89" s="73">
        <f t="shared" si="45"/>
        <v>-1609.7032868800002</v>
      </c>
      <c r="D89" s="70">
        <f t="shared" si="45"/>
        <v>-641.69630720000009</v>
      </c>
      <c r="E89" s="70">
        <f t="shared" ref="E89:G92" si="49">+E76*E62</f>
        <v>-640.74632544000008</v>
      </c>
      <c r="F89" s="70">
        <f t="shared" si="49"/>
        <v>-442.58556160000001</v>
      </c>
      <c r="G89" s="70">
        <f t="shared" si="49"/>
        <v>-558.31123920000005</v>
      </c>
      <c r="H89" s="70">
        <f t="shared" si="46"/>
        <v>-806.18908240000007</v>
      </c>
      <c r="I89" s="70">
        <f t="shared" ref="I89:N92" si="50">+I76*I62</f>
        <v>-268.04030968000001</v>
      </c>
      <c r="J89" s="70">
        <f t="shared" si="50"/>
        <v>-998.29851264000013</v>
      </c>
      <c r="K89" s="70">
        <f t="shared" si="50"/>
        <v>-1377.7640697600002</v>
      </c>
      <c r="L89" s="70">
        <f t="shared" si="50"/>
        <v>-752.76410039999996</v>
      </c>
      <c r="M89" s="70">
        <f t="shared" si="50"/>
        <v>-979.001712</v>
      </c>
      <c r="N89" s="70">
        <f t="shared" si="50"/>
        <v>-1080.8033464800003</v>
      </c>
      <c r="P89" s="319"/>
      <c r="Q89" s="328"/>
      <c r="R89" s="328"/>
      <c r="S89" s="328"/>
    </row>
    <row r="90" spans="1:20" ht="12.75" x14ac:dyDescent="0.2">
      <c r="B90" s="305" t="s">
        <v>44</v>
      </c>
      <c r="C90" s="73">
        <f t="shared" si="45"/>
        <v>0</v>
      </c>
      <c r="D90" s="70">
        <f t="shared" si="45"/>
        <v>0</v>
      </c>
      <c r="E90" s="70">
        <f t="shared" si="49"/>
        <v>0</v>
      </c>
      <c r="F90" s="70">
        <f t="shared" si="49"/>
        <v>0</v>
      </c>
      <c r="G90" s="70">
        <f t="shared" si="49"/>
        <v>0</v>
      </c>
      <c r="H90" s="70">
        <f t="shared" si="46"/>
        <v>0</v>
      </c>
      <c r="I90" s="70">
        <f t="shared" si="50"/>
        <v>0</v>
      </c>
      <c r="J90" s="70">
        <f t="shared" si="50"/>
        <v>0</v>
      </c>
      <c r="K90" s="70">
        <f t="shared" si="50"/>
        <v>0</v>
      </c>
      <c r="L90" s="70">
        <f t="shared" si="50"/>
        <v>0</v>
      </c>
      <c r="M90" s="70">
        <f t="shared" si="50"/>
        <v>0</v>
      </c>
      <c r="N90" s="70">
        <f t="shared" si="50"/>
        <v>0</v>
      </c>
      <c r="P90" s="319"/>
      <c r="Q90" s="328"/>
      <c r="R90" s="319"/>
      <c r="S90" s="328"/>
    </row>
    <row r="91" spans="1:20" ht="12.75" x14ac:dyDescent="0.2">
      <c r="B91" s="305" t="s">
        <v>45</v>
      </c>
      <c r="C91" s="73">
        <f t="shared" si="45"/>
        <v>-4567.3140726200108</v>
      </c>
      <c r="D91" s="70">
        <f t="shared" si="45"/>
        <v>-4526.2109595700103</v>
      </c>
      <c r="E91" s="70">
        <f t="shared" si="49"/>
        <v>-4375.9252083600104</v>
      </c>
      <c r="F91" s="70">
        <f t="shared" si="49"/>
        <v>-4603.5486616000098</v>
      </c>
      <c r="G91" s="70">
        <f t="shared" si="49"/>
        <v>-4492.6101623000095</v>
      </c>
      <c r="H91" s="70">
        <f t="shared" si="46"/>
        <v>-4145.0294684500095</v>
      </c>
      <c r="I91" s="70">
        <f t="shared" si="50"/>
        <v>-4820.7167598700107</v>
      </c>
      <c r="J91" s="70">
        <f t="shared" si="50"/>
        <v>-4763.8108965600104</v>
      </c>
      <c r="K91" s="70">
        <f t="shared" si="50"/>
        <v>-6232.0300570800146</v>
      </c>
      <c r="L91" s="70">
        <f t="shared" si="50"/>
        <v>-4242.3999498500089</v>
      </c>
      <c r="M91" s="70">
        <f t="shared" si="50"/>
        <v>-4910.5051136200109</v>
      </c>
      <c r="N91" s="70">
        <f t="shared" si="50"/>
        <v>-4769.3179155900107</v>
      </c>
      <c r="P91" s="319"/>
      <c r="Q91" s="328"/>
      <c r="R91" s="319"/>
      <c r="S91" s="328"/>
    </row>
    <row r="92" spans="1:20" ht="12.75" x14ac:dyDescent="0.2">
      <c r="B92" s="305" t="s">
        <v>46</v>
      </c>
      <c r="C92" s="98">
        <f t="shared" si="45"/>
        <v>11074.977537519995</v>
      </c>
      <c r="D92" s="87">
        <f t="shared" si="45"/>
        <v>14395.28432223999</v>
      </c>
      <c r="E92" s="87">
        <f t="shared" si="49"/>
        <v>16486.22693375999</v>
      </c>
      <c r="F92" s="87">
        <f t="shared" si="49"/>
        <v>14331.275470399989</v>
      </c>
      <c r="G92" s="87">
        <f t="shared" si="49"/>
        <v>10479.019576999995</v>
      </c>
      <c r="H92" s="70">
        <f t="shared" si="46"/>
        <v>9228.7435525999954</v>
      </c>
      <c r="I92" s="87">
        <f t="shared" si="50"/>
        <v>10272.476591299992</v>
      </c>
      <c r="J92" s="87">
        <f t="shared" si="50"/>
        <v>9580.7500819199959</v>
      </c>
      <c r="K92" s="70">
        <f t="shared" si="50"/>
        <v>10093.689113039996</v>
      </c>
      <c r="L92" s="70">
        <f t="shared" si="50"/>
        <v>-3730.6613498999977</v>
      </c>
      <c r="M92" s="70">
        <f t="shared" si="50"/>
        <v>-4235.0203885199981</v>
      </c>
      <c r="N92" s="70">
        <f t="shared" si="50"/>
        <v>-6358.6897838399991</v>
      </c>
      <c r="P92" s="319"/>
      <c r="Q92" s="328"/>
      <c r="R92" s="319"/>
      <c r="S92" s="328"/>
    </row>
    <row r="93" spans="1:20" ht="12.75" x14ac:dyDescent="0.2">
      <c r="A93" s="327" t="s">
        <v>52</v>
      </c>
      <c r="B93" s="327"/>
      <c r="C93" s="177">
        <f t="shared" ref="C93:N93" si="51">SUM(C82:C92)</f>
        <v>32657.568869119976</v>
      </c>
      <c r="D93" s="178">
        <f t="shared" si="51"/>
        <v>41002.819165609981</v>
      </c>
      <c r="E93" s="178">
        <f t="shared" si="51"/>
        <v>43694.777096999969</v>
      </c>
      <c r="F93" s="178">
        <f t="shared" si="51"/>
        <v>40255.839293599973</v>
      </c>
      <c r="G93" s="178">
        <f t="shared" si="51"/>
        <v>30097.436099899984</v>
      </c>
      <c r="H93" s="178">
        <f t="shared" si="51"/>
        <v>23552.836706749986</v>
      </c>
      <c r="I93" s="178">
        <f t="shared" si="51"/>
        <v>31776.009348159983</v>
      </c>
      <c r="J93" s="178">
        <f t="shared" si="51"/>
        <v>29287.971064079979</v>
      </c>
      <c r="K93" s="179">
        <f t="shared" si="51"/>
        <v>32299.477052759983</v>
      </c>
      <c r="L93" s="179">
        <f t="shared" si="51"/>
        <v>2129.0124310499923</v>
      </c>
      <c r="M93" s="179">
        <f t="shared" si="51"/>
        <v>2646.7070101999916</v>
      </c>
      <c r="N93" s="179">
        <f t="shared" si="51"/>
        <v>2337.3580056599903</v>
      </c>
      <c r="O93" s="330">
        <f>SUM(C93:N93)</f>
        <v>311737.81214388984</v>
      </c>
      <c r="P93" s="331">
        <f>O93/2</f>
        <v>155868.90607194492</v>
      </c>
      <c r="Q93" s="328"/>
      <c r="R93" s="319"/>
      <c r="S93" s="328"/>
    </row>
    <row r="94" spans="1:20" ht="12.75" x14ac:dyDescent="0.2">
      <c r="A94" s="327" t="s">
        <v>53</v>
      </c>
      <c r="B94" s="327"/>
      <c r="C94" s="177">
        <f t="shared" ref="C94:N94" si="52">+C93/C66</f>
        <v>57.067711999999958</v>
      </c>
      <c r="D94" s="178">
        <f t="shared" si="52"/>
        <v>72.301350999999968</v>
      </c>
      <c r="E94" s="178">
        <f t="shared" si="52"/>
        <v>79.694274999999948</v>
      </c>
      <c r="F94" s="178">
        <f t="shared" si="52"/>
        <v>69.791676999999964</v>
      </c>
      <c r="G94" s="178">
        <f t="shared" si="52"/>
        <v>53.46853099999997</v>
      </c>
      <c r="H94" s="178">
        <f t="shared" si="52"/>
        <v>45.350604999999973</v>
      </c>
      <c r="I94" s="178">
        <f t="shared" si="52"/>
        <v>52.60841599999997</v>
      </c>
      <c r="J94" s="178">
        <f t="shared" si="52"/>
        <v>49.068440999999964</v>
      </c>
      <c r="K94" s="70">
        <f t="shared" si="52"/>
        <v>41.365038999999975</v>
      </c>
      <c r="L94" s="70">
        <f t="shared" si="52"/>
        <v>4.0052909999999855</v>
      </c>
      <c r="M94" s="70">
        <f t="shared" si="52"/>
        <v>4.3017699999999861</v>
      </c>
      <c r="N94" s="70">
        <f t="shared" si="52"/>
        <v>3.9114379999999835</v>
      </c>
      <c r="P94" s="319"/>
      <c r="Q94" s="328"/>
      <c r="R94" s="319"/>
      <c r="S94" s="328"/>
    </row>
    <row r="95" spans="1:20" ht="11.25" customHeight="1" x14ac:dyDescent="0.2">
      <c r="C95" s="330">
        <f t="shared" ref="C95:N95" si="53">C94/2</f>
        <v>28.533855999999979</v>
      </c>
      <c r="D95" s="330">
        <f t="shared" si="53"/>
        <v>36.150675499999984</v>
      </c>
      <c r="E95" s="330">
        <f t="shared" si="53"/>
        <v>39.847137499999974</v>
      </c>
      <c r="F95" s="330">
        <f t="shared" si="53"/>
        <v>34.895838499999982</v>
      </c>
      <c r="G95" s="330">
        <f t="shared" si="53"/>
        <v>26.734265499999985</v>
      </c>
      <c r="H95" s="330">
        <f t="shared" si="53"/>
        <v>22.675302499999987</v>
      </c>
      <c r="I95" s="330">
        <f t="shared" si="53"/>
        <v>26.304207999999985</v>
      </c>
      <c r="J95" s="330">
        <f t="shared" si="53"/>
        <v>24.534220499999982</v>
      </c>
      <c r="K95" s="330">
        <f t="shared" si="53"/>
        <v>20.682519499999987</v>
      </c>
      <c r="L95" s="330">
        <f t="shared" si="53"/>
        <v>2.0026454999999928</v>
      </c>
      <c r="M95" s="330">
        <f t="shared" si="53"/>
        <v>2.1508849999999931</v>
      </c>
      <c r="N95" s="330">
        <f t="shared" si="53"/>
        <v>1.9557189999999918</v>
      </c>
      <c r="P95" s="319"/>
      <c r="Q95" s="328"/>
      <c r="R95" s="319"/>
      <c r="S95" s="328"/>
    </row>
    <row r="96" spans="1:20" ht="12.75" x14ac:dyDescent="0.2">
      <c r="A96" s="327"/>
      <c r="C96" s="330">
        <f t="shared" ref="C96:N96" si="54">C94</f>
        <v>57.067711999999958</v>
      </c>
      <c r="D96" s="330">
        <f t="shared" si="54"/>
        <v>72.301350999999968</v>
      </c>
      <c r="E96" s="330">
        <f t="shared" si="54"/>
        <v>79.694274999999948</v>
      </c>
      <c r="F96" s="330">
        <f t="shared" si="54"/>
        <v>69.791676999999964</v>
      </c>
      <c r="G96" s="330">
        <f t="shared" si="54"/>
        <v>53.46853099999997</v>
      </c>
      <c r="H96" s="330">
        <f t="shared" si="54"/>
        <v>45.350604999999973</v>
      </c>
      <c r="I96" s="330">
        <f t="shared" si="54"/>
        <v>52.60841599999997</v>
      </c>
      <c r="J96" s="330">
        <f t="shared" si="54"/>
        <v>49.068440999999964</v>
      </c>
      <c r="K96" s="330">
        <f t="shared" si="54"/>
        <v>41.365038999999975</v>
      </c>
      <c r="L96" s="330">
        <f t="shared" si="54"/>
        <v>4.0052909999999855</v>
      </c>
      <c r="M96" s="330">
        <f t="shared" si="54"/>
        <v>4.3017699999999861</v>
      </c>
      <c r="N96" s="330">
        <f t="shared" si="54"/>
        <v>3.9114379999999835</v>
      </c>
      <c r="P96" s="319"/>
      <c r="Q96" s="328"/>
      <c r="R96" s="319"/>
      <c r="S96" s="328"/>
    </row>
    <row r="97" spans="1:19" ht="12.75" x14ac:dyDescent="0.2">
      <c r="C97" s="103">
        <f t="shared" ref="C97:N97" si="55">C96*0.7</f>
        <v>39.947398399999969</v>
      </c>
      <c r="D97" s="103">
        <f t="shared" si="55"/>
        <v>50.610945699999974</v>
      </c>
      <c r="E97" s="103">
        <f t="shared" si="55"/>
        <v>55.785992499999963</v>
      </c>
      <c r="F97" s="103">
        <f t="shared" si="55"/>
        <v>48.854173899999971</v>
      </c>
      <c r="G97" s="103">
        <f t="shared" si="55"/>
        <v>37.427971699999979</v>
      </c>
      <c r="H97" s="103">
        <f t="shared" si="55"/>
        <v>31.74542349999998</v>
      </c>
      <c r="I97" s="103">
        <f t="shared" si="55"/>
        <v>36.82589119999998</v>
      </c>
      <c r="J97" s="103">
        <f t="shared" si="55"/>
        <v>34.347908699999969</v>
      </c>
      <c r="K97" s="103">
        <f t="shared" si="55"/>
        <v>28.955527299999979</v>
      </c>
      <c r="L97" s="103">
        <f t="shared" si="55"/>
        <v>2.8037036999999896</v>
      </c>
      <c r="M97" s="103">
        <f t="shared" si="55"/>
        <v>3.01123899999999</v>
      </c>
      <c r="N97" s="103">
        <f t="shared" si="55"/>
        <v>2.7380065999999883</v>
      </c>
      <c r="P97" s="328"/>
      <c r="Q97" s="328"/>
      <c r="R97" s="319"/>
      <c r="S97" s="328"/>
    </row>
    <row r="98" spans="1:19" x14ac:dyDescent="0.2">
      <c r="A98" s="327"/>
      <c r="B98" s="327"/>
      <c r="C98" s="177"/>
      <c r="D98" s="177"/>
      <c r="E98" s="177"/>
      <c r="F98" s="177"/>
      <c r="G98" s="177"/>
      <c r="H98" s="177"/>
      <c r="I98" s="177"/>
      <c r="J98" s="329"/>
    </row>
    <row r="99" spans="1:19" ht="8.1" customHeight="1" x14ac:dyDescent="0.2">
      <c r="C99" s="328"/>
      <c r="D99" s="328"/>
      <c r="E99" s="328"/>
      <c r="F99" s="328"/>
      <c r="G99" s="328"/>
      <c r="H99" s="328"/>
      <c r="I99" s="328"/>
      <c r="J99" s="328"/>
    </row>
    <row r="100" spans="1:19" x14ac:dyDescent="0.2">
      <c r="A100" s="327"/>
      <c r="B100" s="327"/>
      <c r="C100" s="329"/>
      <c r="D100" s="329"/>
      <c r="E100" s="329"/>
      <c r="F100" s="329"/>
      <c r="G100" s="329"/>
      <c r="H100" s="329"/>
      <c r="I100" s="329"/>
      <c r="J100" s="329"/>
    </row>
    <row r="101" spans="1:19" ht="8.1" customHeight="1" x14ac:dyDescent="0.2">
      <c r="C101" s="328"/>
      <c r="D101" s="328"/>
      <c r="E101" s="328"/>
      <c r="F101" s="328"/>
      <c r="G101" s="328"/>
      <c r="H101" s="328"/>
      <c r="I101" s="328"/>
      <c r="J101" s="328"/>
    </row>
    <row r="102" spans="1:19" x14ac:dyDescent="0.2">
      <c r="A102" s="327"/>
      <c r="C102" s="103"/>
      <c r="D102" s="103"/>
      <c r="E102" s="103"/>
      <c r="F102" s="103"/>
      <c r="G102" s="103"/>
      <c r="H102" s="103"/>
      <c r="I102" s="103"/>
      <c r="J102" s="106"/>
    </row>
  </sheetData>
  <pageMargins left="0.25" right="0.25" top="0.75" bottom="0.75" header="0.3" footer="0.3"/>
  <pageSetup scale="58" fitToWidth="0" orientation="portrait" r:id="rId1"/>
  <headerFooter alignWithMargins="0"/>
  <rowBreaks count="1" manualBreakCount="1">
    <brk id="53" max="14"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A104"/>
  <sheetViews>
    <sheetView showGridLines="0" topLeftCell="A13" zoomScaleNormal="100" workbookViewId="0">
      <selection activeCell="O37" sqref="O37"/>
    </sheetView>
  </sheetViews>
  <sheetFormatPr defaultRowHeight="12.75" x14ac:dyDescent="0.2"/>
  <cols>
    <col min="1" max="1" width="25.85546875" style="5" customWidth="1"/>
    <col min="2" max="2" width="10.5703125" style="5" customWidth="1"/>
    <col min="3" max="3" width="4.42578125" style="5" customWidth="1"/>
    <col min="4" max="4" width="11.28515625" style="5" customWidth="1"/>
    <col min="5" max="5" width="5.85546875" style="5" customWidth="1"/>
    <col min="6" max="6" width="11.28515625" style="5" customWidth="1"/>
    <col min="7" max="7" width="8.7109375" style="5" customWidth="1"/>
    <col min="8" max="8" width="4.42578125" style="5" customWidth="1"/>
    <col min="9" max="9" width="9" style="5" bestFit="1" customWidth="1"/>
    <col min="10" max="10" width="10.85546875" style="5" customWidth="1"/>
    <col min="11" max="11" width="7.140625" style="5" customWidth="1"/>
    <col min="12" max="14" width="9.5703125" style="5" customWidth="1"/>
    <col min="15" max="15" width="15.28515625" style="5" customWidth="1"/>
    <col min="16" max="16" width="36.7109375" style="5"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0</v>
      </c>
      <c r="B1" s="2"/>
      <c r="C1" s="2"/>
      <c r="D1" s="2"/>
      <c r="E1" s="2"/>
      <c r="F1" s="2"/>
      <c r="G1" s="3"/>
      <c r="H1" s="2"/>
      <c r="I1" s="2"/>
      <c r="J1" s="1" t="s">
        <v>58</v>
      </c>
      <c r="K1" s="2"/>
      <c r="L1" s="2"/>
      <c r="M1" s="2"/>
      <c r="N1" s="2"/>
      <c r="O1" s="2"/>
      <c r="P1" s="2"/>
      <c r="Q1" s="2"/>
      <c r="R1" s="2"/>
      <c r="S1" s="2"/>
      <c r="T1" s="2"/>
      <c r="U1" s="2"/>
      <c r="V1" s="2"/>
      <c r="W1" s="4"/>
      <c r="X1" s="4"/>
      <c r="Y1" s="4"/>
      <c r="Z1" s="4"/>
      <c r="AA1" s="4"/>
    </row>
    <row r="2" spans="1:27" x14ac:dyDescent="0.2">
      <c r="A2" s="6" t="s">
        <v>1</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"&amp;YEAR(A21)</f>
        <v>For the Year Ended April 2018</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81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3</v>
      </c>
      <c r="G5" s="11"/>
      <c r="H5" s="11"/>
      <c r="I5" s="11"/>
      <c r="J5" s="11"/>
      <c r="K5" s="11"/>
      <c r="L5" s="2"/>
      <c r="M5" s="2"/>
      <c r="N5" s="2"/>
      <c r="O5" s="114" t="str">
        <f>"Total "&amp;F5</f>
        <v>Total Commodity</v>
      </c>
      <c r="P5" s="115"/>
      <c r="Q5" s="2"/>
      <c r="R5" s="2"/>
      <c r="S5" s="2"/>
      <c r="T5" s="2"/>
      <c r="U5" s="2"/>
      <c r="V5" s="13"/>
      <c r="W5" s="14"/>
      <c r="X5" s="14"/>
      <c r="Y5" s="14"/>
      <c r="AA5" s="14"/>
    </row>
    <row r="6" spans="1:27" s="16" customFormat="1" ht="11.25" x14ac:dyDescent="0.2">
      <c r="A6" s="15"/>
      <c r="B6" s="12"/>
      <c r="C6" s="12"/>
      <c r="D6" s="12" t="s">
        <v>3</v>
      </c>
      <c r="E6" s="12"/>
      <c r="F6" s="12" t="s">
        <v>4</v>
      </c>
      <c r="G6" s="12"/>
      <c r="H6" s="12"/>
      <c r="I6" s="12"/>
      <c r="J6" s="12"/>
      <c r="K6" s="12"/>
      <c r="O6" s="116" t="str">
        <f>+F6</f>
        <v>Revenue</v>
      </c>
      <c r="P6" s="117"/>
    </row>
    <row r="7" spans="1:27" s="16" customFormat="1" ht="11.25" x14ac:dyDescent="0.2">
      <c r="A7" s="15" t="s">
        <v>6</v>
      </c>
      <c r="B7" s="12" t="s">
        <v>82</v>
      </c>
      <c r="C7" s="12"/>
      <c r="D7" s="12" t="s">
        <v>4</v>
      </c>
      <c r="E7" s="12"/>
      <c r="F7" s="12" t="s">
        <v>83</v>
      </c>
      <c r="G7" s="12"/>
      <c r="H7" s="12"/>
      <c r="I7" s="12"/>
      <c r="J7" s="12" t="s">
        <v>84</v>
      </c>
      <c r="K7" s="12"/>
      <c r="O7" s="116" t="str">
        <f>+F7</f>
        <v>per Yard</v>
      </c>
      <c r="P7" s="117"/>
    </row>
    <row r="8" spans="1:27" s="16" customFormat="1" ht="11.25" x14ac:dyDescent="0.2">
      <c r="A8" s="372">
        <f>+'Multi_Family MF 2018'!C6</f>
        <v>42886</v>
      </c>
      <c r="B8" s="358">
        <v>411.94</v>
      </c>
      <c r="C8" s="12"/>
      <c r="D8" s="150">
        <f>VLOOKUP(A8,'Value MF 2018'!$A$6:$O$17,15,)</f>
        <v>88.454953599999968</v>
      </c>
      <c r="E8" s="12"/>
      <c r="F8" s="16">
        <f>ROUND(D8/B8,2)</f>
        <v>0.21</v>
      </c>
      <c r="G8" s="12"/>
      <c r="H8" s="12"/>
      <c r="I8" s="12"/>
      <c r="J8" s="14">
        <f>+B8</f>
        <v>411.94</v>
      </c>
      <c r="K8" s="13">
        <f>YEAR(A8)</f>
        <v>2017</v>
      </c>
      <c r="O8" s="118">
        <f>VLOOKUP(A8,'Value MF 2018'!$A$7:$O$18,13,FALSE)</f>
        <v>176.90990719999994</v>
      </c>
      <c r="P8" s="117"/>
    </row>
    <row r="9" spans="1:27" s="16" customFormat="1" ht="11.25" x14ac:dyDescent="0.2">
      <c r="A9" s="17">
        <f>EOMONTH(A8,1)</f>
        <v>42916</v>
      </c>
      <c r="B9" s="358">
        <v>411.94</v>
      </c>
      <c r="C9" s="22"/>
      <c r="D9" s="150">
        <f>VLOOKUP(A9,'Value MF 2018'!$A$6:$O$17,15,)</f>
        <v>182.56091127499991</v>
      </c>
      <c r="E9" s="14"/>
      <c r="F9" s="16">
        <f>ROUND(D9/B9,2)</f>
        <v>0.44</v>
      </c>
      <c r="G9" s="14"/>
      <c r="H9" s="14"/>
      <c r="I9" s="14"/>
      <c r="J9" s="14">
        <f>+B9</f>
        <v>411.94</v>
      </c>
      <c r="K9" s="13">
        <f>YEAR(A9)</f>
        <v>2017</v>
      </c>
      <c r="O9" s="118">
        <f>VLOOKUP(A9,'Value MF 2018'!$A$7:$O$18,13,FALSE)</f>
        <v>365.12182254999982</v>
      </c>
      <c r="P9" s="117"/>
    </row>
    <row r="10" spans="1:27" s="16" customFormat="1" ht="11.25" x14ac:dyDescent="0.2">
      <c r="A10" s="17">
        <f>EOMONTH(A9,1)</f>
        <v>42947</v>
      </c>
      <c r="B10" s="358">
        <v>411.94</v>
      </c>
      <c r="C10" s="14"/>
      <c r="D10" s="150">
        <f>VLOOKUP(A10,'Value MF 2018'!$A$6:$O$17,15,)</f>
        <v>135.87873887499993</v>
      </c>
      <c r="E10" s="14"/>
      <c r="F10" s="16">
        <f>ROUND(D10/B10,2)</f>
        <v>0.33</v>
      </c>
      <c r="G10" s="14"/>
      <c r="H10" s="14"/>
      <c r="I10" s="14"/>
      <c r="J10" s="14">
        <f>+B10</f>
        <v>411.94</v>
      </c>
      <c r="K10" s="13">
        <f>YEAR(A10)</f>
        <v>2017</v>
      </c>
      <c r="O10" s="118">
        <f>VLOOKUP(A10,'Value MF 2018'!$A$7:$O$18,13,FALSE)</f>
        <v>271.75747774999985</v>
      </c>
      <c r="P10" s="117"/>
    </row>
    <row r="11" spans="1:27" s="16" customFormat="1" ht="11.25" x14ac:dyDescent="0.2">
      <c r="A11" s="17" t="s">
        <v>85</v>
      </c>
      <c r="B11" s="23">
        <f>SUM(B8:B10)</f>
        <v>1235.82</v>
      </c>
      <c r="C11" s="22" t="s">
        <v>9</v>
      </c>
      <c r="D11" s="151">
        <f>SUM(D8:D10)</f>
        <v>406.89460374999976</v>
      </c>
      <c r="E11" s="14"/>
      <c r="G11" s="14"/>
      <c r="H11" s="14"/>
      <c r="I11" s="14"/>
      <c r="J11" s="14"/>
      <c r="K11" s="13"/>
      <c r="O11" s="118"/>
      <c r="P11" s="117"/>
    </row>
    <row r="12" spans="1:27" s="16" customFormat="1" ht="11.25" x14ac:dyDescent="0.2">
      <c r="A12" s="17"/>
      <c r="B12" s="14"/>
      <c r="C12" s="14"/>
      <c r="D12" s="73"/>
      <c r="E12" s="14"/>
      <c r="G12" s="14"/>
      <c r="H12" s="14"/>
      <c r="I12" s="14"/>
      <c r="J12" s="14"/>
      <c r="K12" s="13"/>
      <c r="O12" s="118"/>
      <c r="P12" s="117"/>
    </row>
    <row r="13" spans="1:27" s="16" customFormat="1" ht="11.25" x14ac:dyDescent="0.2">
      <c r="A13" s="17">
        <f>EOMONTH(A10,1)</f>
        <v>42978</v>
      </c>
      <c r="B13" s="358">
        <v>414.02</v>
      </c>
      <c r="C13" s="14"/>
      <c r="D13" s="150">
        <f>VLOOKUP(A13,'Value MF 2018'!$A$6:$O$17,15,)</f>
        <v>173.43231734499992</v>
      </c>
      <c r="E13" s="14"/>
      <c r="F13" s="16">
        <f t="shared" ref="F13:F21" si="0">ROUND(D13/B13,2)</f>
        <v>0.42</v>
      </c>
      <c r="G13" s="24"/>
      <c r="H13" s="14"/>
      <c r="I13" s="14"/>
      <c r="J13" s="14">
        <f t="shared" ref="J13:J21" si="1">+B13</f>
        <v>414.02</v>
      </c>
      <c r="K13" s="13">
        <f t="shared" ref="K13:K21" si="2">YEAR(A13)</f>
        <v>2017</v>
      </c>
      <c r="O13" s="118">
        <f>VLOOKUP(A13,'Value MF 2018'!$A$7:$O$18,13,FALSE)</f>
        <v>346.86463468999983</v>
      </c>
      <c r="P13" s="117"/>
    </row>
    <row r="14" spans="1:27" s="16" customFormat="1" ht="11.25" x14ac:dyDescent="0.2">
      <c r="A14" s="17">
        <f t="shared" ref="A14:A21" si="3">EOMONTH(A13,1)</f>
        <v>43008</v>
      </c>
      <c r="B14" s="358">
        <v>414.02</v>
      </c>
      <c r="C14" s="14"/>
      <c r="D14" s="150">
        <f>VLOOKUP(A14,'Value MF 2018'!$A$6:$O$17,15,)</f>
        <v>90.361817389999956</v>
      </c>
      <c r="E14" s="14"/>
      <c r="F14" s="16">
        <f t="shared" si="0"/>
        <v>0.22</v>
      </c>
      <c r="G14" s="24"/>
      <c r="H14" s="14"/>
      <c r="I14" s="14"/>
      <c r="J14" s="14">
        <f t="shared" si="1"/>
        <v>414.02</v>
      </c>
      <c r="K14" s="13">
        <f t="shared" si="2"/>
        <v>2017</v>
      </c>
      <c r="O14" s="118">
        <f>VLOOKUP(A14,'Value MF 2018'!$A$7:$O$18,13,FALSE)</f>
        <v>180.72363477999991</v>
      </c>
      <c r="P14" s="117"/>
    </row>
    <row r="15" spans="1:27" s="16" customFormat="1" ht="11.25" x14ac:dyDescent="0.2">
      <c r="A15" s="17">
        <f t="shared" si="3"/>
        <v>43039</v>
      </c>
      <c r="B15" s="358">
        <v>414.02</v>
      </c>
      <c r="C15" s="14"/>
      <c r="D15" s="150">
        <f>VLOOKUP(A15,'Value MF 2018'!$A$6:$O$17,15,)</f>
        <v>79.590311774999947</v>
      </c>
      <c r="E15" s="14"/>
      <c r="F15" s="16">
        <f t="shared" si="0"/>
        <v>0.19</v>
      </c>
      <c r="G15" s="24"/>
      <c r="H15" s="14"/>
      <c r="I15" s="14"/>
      <c r="J15" s="14">
        <f t="shared" si="1"/>
        <v>414.02</v>
      </c>
      <c r="K15" s="13">
        <f t="shared" si="2"/>
        <v>2017</v>
      </c>
      <c r="O15" s="118">
        <f>VLOOKUP(A15,'Value MF 2018'!$A$7:$O$18,13,FALSE)</f>
        <v>159.18062354999989</v>
      </c>
      <c r="P15" s="117"/>
    </row>
    <row r="16" spans="1:27" s="16" customFormat="1" ht="11.25" x14ac:dyDescent="0.2">
      <c r="A16" s="17">
        <f t="shared" si="3"/>
        <v>43069</v>
      </c>
      <c r="B16" s="358">
        <v>414.02</v>
      </c>
      <c r="C16" s="14"/>
      <c r="D16" s="150">
        <f>VLOOKUP(A16,'Value MF 2018'!$A$6:$O$17,15,)</f>
        <v>87.856054719999932</v>
      </c>
      <c r="E16" s="14"/>
      <c r="F16" s="16">
        <f t="shared" si="0"/>
        <v>0.21</v>
      </c>
      <c r="G16" s="24"/>
      <c r="H16" s="14"/>
      <c r="I16" s="14"/>
      <c r="J16" s="14">
        <f t="shared" si="1"/>
        <v>414.02</v>
      </c>
      <c r="K16" s="13">
        <f t="shared" si="2"/>
        <v>2017</v>
      </c>
      <c r="O16" s="118">
        <f>VLOOKUP(A16,'Value MF 2018'!$A$7:$O$18,13,FALSE)</f>
        <v>175.71210943999986</v>
      </c>
      <c r="P16" s="117"/>
    </row>
    <row r="17" spans="1:27" s="16" customFormat="1" ht="11.25" x14ac:dyDescent="0.2">
      <c r="A17" s="17">
        <f t="shared" si="3"/>
        <v>43100</v>
      </c>
      <c r="B17" s="358">
        <v>414.02</v>
      </c>
      <c r="C17" s="14"/>
      <c r="D17" s="150">
        <f>VLOOKUP(A17,'Value MF 2018'!$A$6:$O$17,15,)</f>
        <v>78.754847804999955</v>
      </c>
      <c r="E17" s="14"/>
      <c r="F17" s="16">
        <f t="shared" si="0"/>
        <v>0.19</v>
      </c>
      <c r="G17" s="24"/>
      <c r="H17" s="14"/>
      <c r="I17" s="14"/>
      <c r="J17" s="14">
        <f t="shared" si="1"/>
        <v>414.02</v>
      </c>
      <c r="K17" s="13">
        <f t="shared" si="2"/>
        <v>2017</v>
      </c>
      <c r="O17" s="118">
        <f>VLOOKUP(A17,'Value MF 2018'!$A$7:$O$18,13,FALSE)</f>
        <v>157.50969560999991</v>
      </c>
      <c r="P17" s="117"/>
      <c r="X17" s="14"/>
      <c r="Y17" s="14"/>
    </row>
    <row r="18" spans="1:27" s="16" customFormat="1" ht="11.25" x14ac:dyDescent="0.2">
      <c r="A18" s="17">
        <f t="shared" si="3"/>
        <v>43131</v>
      </c>
      <c r="B18" s="358">
        <v>414.02</v>
      </c>
      <c r="C18" s="14"/>
      <c r="D18" s="150">
        <f>VLOOKUP(A18,'Value MF 2018'!$A$6:$O$17,15,)</f>
        <v>89.555309434999941</v>
      </c>
      <c r="E18" s="14"/>
      <c r="F18" s="16">
        <f t="shared" si="0"/>
        <v>0.22</v>
      </c>
      <c r="G18" s="24"/>
      <c r="H18" s="14"/>
      <c r="I18" s="14"/>
      <c r="J18" s="14">
        <f t="shared" si="1"/>
        <v>414.02</v>
      </c>
      <c r="K18" s="13">
        <f t="shared" si="2"/>
        <v>2018</v>
      </c>
      <c r="L18" s="14"/>
      <c r="M18" s="14"/>
      <c r="N18" s="14"/>
      <c r="O18" s="118">
        <f>VLOOKUP(A18,'Value MF 2018'!$A$7:$O$18,13,FALSE)</f>
        <v>179.11061886999988</v>
      </c>
      <c r="P18" s="117"/>
      <c r="Q18" s="14"/>
      <c r="R18" s="14"/>
      <c r="S18" s="14"/>
      <c r="T18" s="14"/>
      <c r="U18" s="14"/>
      <c r="V18" s="14"/>
      <c r="W18" s="14"/>
      <c r="Y18" s="14"/>
      <c r="AA18" s="14"/>
    </row>
    <row r="19" spans="1:27" s="16" customFormat="1" ht="11.25" x14ac:dyDescent="0.2">
      <c r="A19" s="17">
        <f t="shared" si="3"/>
        <v>43159</v>
      </c>
      <c r="B19" s="358">
        <v>448.5</v>
      </c>
      <c r="C19" s="14"/>
      <c r="D19" s="150">
        <f>VLOOKUP(A19,'Value MF 2018'!$A$6:$O$17,15,)</f>
        <v>6.30833332499998</v>
      </c>
      <c r="E19" s="14"/>
      <c r="F19" s="16">
        <f t="shared" si="0"/>
        <v>0.01</v>
      </c>
      <c r="G19" s="24"/>
      <c r="H19" s="14"/>
      <c r="I19" s="14"/>
      <c r="J19" s="14">
        <f t="shared" si="1"/>
        <v>448.5</v>
      </c>
      <c r="K19" s="13">
        <f t="shared" si="2"/>
        <v>2018</v>
      </c>
      <c r="O19" s="118">
        <f>VLOOKUP(A19,'Value MF 2018'!$A$7:$O$18,13,FALSE)</f>
        <v>12.61666664999996</v>
      </c>
      <c r="P19" s="117"/>
    </row>
    <row r="20" spans="1:27" s="16" customFormat="1" ht="11.25" x14ac:dyDescent="0.2">
      <c r="A20" s="17">
        <f t="shared" si="3"/>
        <v>43190</v>
      </c>
      <c r="B20" s="358">
        <v>438.76</v>
      </c>
      <c r="C20" s="14"/>
      <c r="D20" s="150">
        <f>VLOOKUP(A20,'Value MF 2018'!$A$6:$O$17,15,)</f>
        <v>14.927141899999945</v>
      </c>
      <c r="E20" s="14"/>
      <c r="F20" s="16">
        <f t="shared" si="0"/>
        <v>0.03</v>
      </c>
      <c r="G20" s="24"/>
      <c r="H20" s="22"/>
      <c r="I20" s="14"/>
      <c r="J20" s="14">
        <f t="shared" si="1"/>
        <v>438.76</v>
      </c>
      <c r="K20" s="13">
        <f t="shared" si="2"/>
        <v>2018</v>
      </c>
      <c r="O20" s="118">
        <f>VLOOKUP(A20,'Value MF 2018'!$A$7:$O$18,13,FALSE)</f>
        <v>29.854283799999891</v>
      </c>
      <c r="P20" s="34"/>
    </row>
    <row r="21" spans="1:27" s="16" customFormat="1" ht="11.25" x14ac:dyDescent="0.2">
      <c r="A21" s="17">
        <f t="shared" si="3"/>
        <v>43220</v>
      </c>
      <c r="B21" s="358">
        <v>388.96</v>
      </c>
      <c r="C21" s="14"/>
      <c r="D21" s="150">
        <v>92.76</v>
      </c>
      <c r="E21" s="14"/>
      <c r="F21" s="16">
        <f t="shared" si="0"/>
        <v>0.24</v>
      </c>
      <c r="G21" s="24"/>
      <c r="H21" s="22"/>
      <c r="I21" s="14"/>
      <c r="J21" s="14">
        <f t="shared" si="1"/>
        <v>388.96</v>
      </c>
      <c r="K21" s="13">
        <f t="shared" si="2"/>
        <v>2018</v>
      </c>
      <c r="O21" s="118">
        <f>VLOOKUP(A21,'Value MF 2018'!$A$7:$O$18,13,FALSE)</f>
        <v>39.427295039999848</v>
      </c>
      <c r="P21" s="117"/>
    </row>
    <row r="22" spans="1:27" s="16" customFormat="1" ht="11.25" x14ac:dyDescent="0.2">
      <c r="A22" s="17"/>
      <c r="B22" s="14"/>
      <c r="C22" s="14"/>
      <c r="D22" s="73"/>
      <c r="E22" s="14"/>
      <c r="G22" s="14"/>
      <c r="H22" s="14"/>
      <c r="I22" s="14"/>
      <c r="J22" s="14"/>
      <c r="K22" s="13"/>
      <c r="O22" s="118"/>
      <c r="P22" s="117"/>
    </row>
    <row r="23" spans="1:27" s="16" customFormat="1" ht="11.25" x14ac:dyDescent="0.2">
      <c r="A23" s="17" t="s">
        <v>86</v>
      </c>
      <c r="B23" s="23">
        <f>SUM(B13:B22)</f>
        <v>3760.34</v>
      </c>
      <c r="C23" s="22" t="s">
        <v>10</v>
      </c>
      <c r="D23" s="151">
        <f>SUM(D11:D22)-D11</f>
        <v>713.54613369499953</v>
      </c>
      <c r="E23" s="14"/>
      <c r="G23" s="14"/>
      <c r="H23" s="14"/>
      <c r="I23" s="14"/>
      <c r="J23" s="14"/>
      <c r="K23" s="13"/>
      <c r="O23" s="119"/>
    </row>
    <row r="24" spans="1:27" s="16" customFormat="1" x14ac:dyDescent="0.2">
      <c r="A24" s="5"/>
      <c r="B24" s="5"/>
      <c r="C24" s="5"/>
      <c r="D24" s="152"/>
      <c r="E24" s="5"/>
      <c r="F24" s="5"/>
      <c r="G24" s="5"/>
      <c r="H24" s="5"/>
      <c r="I24" s="5"/>
      <c r="J24" s="5"/>
      <c r="K24" s="5"/>
      <c r="O24" s="119"/>
      <c r="P24" s="120" t="s">
        <v>59</v>
      </c>
    </row>
    <row r="25" spans="1:27" s="16" customFormat="1" ht="13.5" thickBot="1" x14ac:dyDescent="0.25">
      <c r="A25" s="26"/>
      <c r="B25" s="27">
        <f>+B11+B23</f>
        <v>4996.16</v>
      </c>
      <c r="C25" s="22"/>
      <c r="D25" s="153">
        <f>+D11+D23</f>
        <v>1120.4407374449993</v>
      </c>
      <c r="E25" s="22" t="s">
        <v>11</v>
      </c>
      <c r="F25" s="24">
        <f>ROUND(D25/B25,3)</f>
        <v>0.224</v>
      </c>
      <c r="H25" s="14"/>
      <c r="I25" s="14"/>
      <c r="J25" s="27">
        <f>SUM(J8:J24)</f>
        <v>4996.16</v>
      </c>
      <c r="K25" s="22" t="s">
        <v>13</v>
      </c>
      <c r="O25" s="119">
        <f>SUM(O8:O24)</f>
        <v>2094.7887699299986</v>
      </c>
      <c r="P25" s="121"/>
    </row>
    <row r="26" spans="1:27" s="16" customFormat="1" ht="12" thickTop="1" x14ac:dyDescent="0.2">
      <c r="B26" s="14"/>
      <c r="C26" s="22"/>
      <c r="D26" s="14"/>
      <c r="E26" s="14"/>
      <c r="F26" s="14"/>
      <c r="G26" s="14"/>
      <c r="H26" s="14"/>
      <c r="I26" s="14"/>
      <c r="J26" s="14"/>
      <c r="K26" s="14"/>
      <c r="O26" s="122">
        <f>ROUND(O25/J25,3)</f>
        <v>0.41899999999999998</v>
      </c>
      <c r="P26" s="117" t="s">
        <v>60</v>
      </c>
    </row>
    <row r="27" spans="1:27" s="16" customFormat="1" ht="11.25" x14ac:dyDescent="0.2">
      <c r="A27" s="16" t="s">
        <v>225</v>
      </c>
      <c r="B27" s="14">
        <f>SUM(B16:B21)</f>
        <v>2518.2799999999997</v>
      </c>
      <c r="C27" s="14"/>
      <c r="D27" s="14">
        <f>SUM(D16:D21)</f>
        <v>370.16168718499972</v>
      </c>
      <c r="E27" s="14"/>
      <c r="F27" s="16">
        <f>D27/B27</f>
        <v>0.1469898848360785</v>
      </c>
      <c r="G27" s="22" t="s">
        <v>12</v>
      </c>
      <c r="H27" s="14"/>
      <c r="I27" s="14"/>
      <c r="J27" s="14"/>
      <c r="K27" s="14"/>
      <c r="O27" s="123">
        <f>+J21</f>
        <v>388.96</v>
      </c>
      <c r="P27" s="117" t="s">
        <v>61</v>
      </c>
    </row>
    <row r="28" spans="1:27" s="16" customFormat="1" ht="11.25" x14ac:dyDescent="0.2">
      <c r="A28" s="16" t="s">
        <v>224</v>
      </c>
      <c r="B28" s="14"/>
      <c r="C28" s="14"/>
      <c r="D28" s="14"/>
      <c r="E28" s="14"/>
      <c r="F28" s="14"/>
      <c r="G28" s="14"/>
      <c r="H28" s="14"/>
      <c r="I28" s="14"/>
      <c r="J28" s="14"/>
      <c r="K28" s="14"/>
      <c r="O28" s="34"/>
      <c r="P28" s="117"/>
    </row>
    <row r="29" spans="1:27" s="16" customFormat="1" ht="11.25" x14ac:dyDescent="0.2">
      <c r="B29" s="14"/>
      <c r="C29" s="14"/>
      <c r="D29" s="14"/>
      <c r="E29" s="14"/>
      <c r="F29" s="14"/>
      <c r="G29" s="14"/>
      <c r="H29" s="14"/>
      <c r="I29" s="14"/>
      <c r="J29" s="14"/>
      <c r="K29" s="14"/>
      <c r="O29" s="34"/>
      <c r="P29" s="117"/>
    </row>
    <row r="30" spans="1:27" s="16" customFormat="1" ht="11.25" x14ac:dyDescent="0.2">
      <c r="B30" s="14"/>
      <c r="C30" s="14"/>
      <c r="D30" s="14"/>
      <c r="E30" s="14"/>
      <c r="F30" s="14"/>
      <c r="G30" s="14"/>
      <c r="H30" s="14"/>
      <c r="I30" s="14"/>
      <c r="J30" s="14"/>
      <c r="K30" s="14"/>
      <c r="O30" s="34"/>
      <c r="P30" s="117"/>
    </row>
    <row r="31" spans="1:27" s="16" customFormat="1" ht="11.25" x14ac:dyDescent="0.2">
      <c r="B31" s="14"/>
      <c r="C31" s="14"/>
      <c r="D31" s="14"/>
      <c r="E31" s="14"/>
      <c r="F31" s="14"/>
      <c r="G31" s="14"/>
      <c r="H31" s="14"/>
      <c r="I31" s="14"/>
      <c r="J31" s="14"/>
      <c r="K31" s="14"/>
      <c r="O31" s="34"/>
      <c r="P31" s="117"/>
    </row>
    <row r="32" spans="1:27" s="16" customFormat="1" ht="12" thickBot="1" x14ac:dyDescent="0.25">
      <c r="B32" s="28" t="s">
        <v>14</v>
      </c>
      <c r="C32" s="29"/>
      <c r="D32" s="29"/>
      <c r="E32" s="29"/>
      <c r="F32" s="14"/>
      <c r="G32" s="14"/>
      <c r="H32" s="14"/>
      <c r="I32" s="14"/>
      <c r="J32" s="14"/>
      <c r="K32" s="14"/>
      <c r="O32" s="117"/>
      <c r="P32" s="117" t="s">
        <v>62</v>
      </c>
    </row>
    <row r="33" spans="1:27" s="16" customFormat="1" ht="12" thickTop="1" x14ac:dyDescent="0.2">
      <c r="A33" s="6"/>
      <c r="B33" s="30"/>
      <c r="C33" s="14"/>
      <c r="D33" s="14"/>
      <c r="E33" s="14"/>
      <c r="F33" s="14"/>
      <c r="G33" s="14"/>
      <c r="H33" s="14"/>
      <c r="I33" s="14"/>
      <c r="J33" s="14"/>
      <c r="K33" s="14"/>
      <c r="X33" s="14"/>
      <c r="Y33" s="14"/>
    </row>
    <row r="34" spans="1:27" s="16" customFormat="1" ht="11.25" x14ac:dyDescent="0.2">
      <c r="A34" s="8"/>
      <c r="B34" s="30"/>
      <c r="C34" s="14"/>
      <c r="D34" s="14"/>
      <c r="E34" s="14"/>
      <c r="F34" s="31" t="s">
        <v>15</v>
      </c>
      <c r="G34" s="14">
        <f>+D25</f>
        <v>1120.4407374449993</v>
      </c>
      <c r="H34" s="22" t="s">
        <v>11</v>
      </c>
      <c r="I34" s="14"/>
      <c r="J34" s="14"/>
      <c r="K34" s="14"/>
    </row>
    <row r="35" spans="1:27" s="13" customFormat="1" ht="11.25" x14ac:dyDescent="0.2">
      <c r="A35" s="32"/>
      <c r="B35" s="30"/>
      <c r="C35" s="14"/>
      <c r="D35" s="14"/>
      <c r="E35" s="14"/>
      <c r="F35" s="14"/>
      <c r="G35" s="14"/>
      <c r="H35" s="22"/>
      <c r="I35" s="14"/>
      <c r="J35" s="14"/>
      <c r="K35" s="14"/>
      <c r="O35" s="16"/>
      <c r="P35" s="16"/>
      <c r="W35" s="14"/>
      <c r="X35" s="16"/>
      <c r="Y35" s="16"/>
      <c r="AA35" s="14"/>
    </row>
    <row r="36" spans="1:27" s="16" customFormat="1" ht="11.25" x14ac:dyDescent="0.2">
      <c r="B36" s="14" t="s">
        <v>87</v>
      </c>
      <c r="C36" s="14"/>
      <c r="D36" s="14"/>
      <c r="E36" s="14"/>
      <c r="F36" s="371">
        <v>0.44</v>
      </c>
      <c r="G36" s="14"/>
      <c r="H36" s="14"/>
      <c r="I36" s="14"/>
      <c r="J36" s="14"/>
      <c r="K36" s="14"/>
      <c r="O36" s="16">
        <f>'Value MF 2018'!M20</f>
        <v>2094.7887699299986</v>
      </c>
      <c r="P36" s="13" t="s">
        <v>63</v>
      </c>
    </row>
    <row r="37" spans="1:27" s="16" customFormat="1" ht="11.25" x14ac:dyDescent="0.2">
      <c r="B37" s="14"/>
      <c r="C37" s="14" t="str">
        <f>"Customers from "&amp;TEXT($A$8,"mm/yy")&amp;" - "&amp;TEXT($A$10,"mm/yy")</f>
        <v>Customers from 05/17 - 07/17</v>
      </c>
      <c r="D37" s="14"/>
      <c r="E37" s="14"/>
      <c r="F37" s="14">
        <f>SUM(B11)</f>
        <v>1235.82</v>
      </c>
      <c r="G37" s="22" t="s">
        <v>9</v>
      </c>
      <c r="H37" s="14"/>
      <c r="I37" s="14"/>
      <c r="J37" s="14"/>
      <c r="K37" s="14"/>
      <c r="O37" s="16">
        <f>'Value MF 2018'!O20</f>
        <v>1047.3943849649993</v>
      </c>
      <c r="P37" s="16" t="s">
        <v>64</v>
      </c>
    </row>
    <row r="38" spans="1:27" s="16" customFormat="1" ht="11.25" x14ac:dyDescent="0.2">
      <c r="B38" s="14"/>
      <c r="C38" s="14" t="s">
        <v>17</v>
      </c>
      <c r="D38" s="14"/>
      <c r="E38" s="14"/>
      <c r="F38" s="23">
        <f>F36*F37</f>
        <v>543.76080000000002</v>
      </c>
      <c r="G38" s="22"/>
      <c r="H38" s="14"/>
      <c r="I38" s="14"/>
      <c r="J38" s="14"/>
      <c r="K38" s="14"/>
      <c r="O38" s="124">
        <f>+O37/O36</f>
        <v>0.5</v>
      </c>
    </row>
    <row r="39" spans="1:27" s="16" customFormat="1" ht="11.25" x14ac:dyDescent="0.2">
      <c r="B39" s="14"/>
      <c r="C39" s="14"/>
      <c r="D39" s="14"/>
      <c r="E39" s="14"/>
      <c r="F39" s="34"/>
      <c r="G39" s="22"/>
      <c r="H39" s="14"/>
      <c r="I39" s="14"/>
      <c r="J39" s="14"/>
      <c r="K39" s="14"/>
    </row>
    <row r="40" spans="1:27" s="16" customFormat="1" ht="11.25" x14ac:dyDescent="0.2">
      <c r="B40" s="14" t="s">
        <v>87</v>
      </c>
      <c r="C40" s="14"/>
      <c r="D40" s="14"/>
      <c r="E40" s="14"/>
      <c r="F40" s="371">
        <v>0.28999999999999998</v>
      </c>
      <c r="G40" s="14"/>
      <c r="H40" s="14"/>
      <c r="I40" s="14"/>
      <c r="J40" s="14"/>
      <c r="K40" s="14"/>
    </row>
    <row r="41" spans="1:27" s="16" customFormat="1" ht="11.25" x14ac:dyDescent="0.2">
      <c r="B41" s="14"/>
      <c r="C41" s="14" t="str">
        <f>"Customers from "&amp;TEXT($A$13,"mm/yy")&amp;" - "&amp;TEXT($A$21,"mm/yy")</f>
        <v>Customers from 08/17 - 04/18</v>
      </c>
      <c r="D41" s="14"/>
      <c r="E41" s="14"/>
      <c r="F41" s="14">
        <f>+B23-F37</f>
        <v>2524.5200000000004</v>
      </c>
      <c r="G41" s="22" t="s">
        <v>10</v>
      </c>
      <c r="H41" s="14"/>
      <c r="I41" s="14"/>
      <c r="J41" s="14"/>
      <c r="K41" s="14"/>
    </row>
    <row r="42" spans="1:27" s="16" customFormat="1" ht="11.25" x14ac:dyDescent="0.2">
      <c r="B42" s="14"/>
      <c r="C42" s="14" t="s">
        <v>17</v>
      </c>
      <c r="D42" s="14"/>
      <c r="E42" s="14"/>
      <c r="F42" s="23">
        <f>F40*F41</f>
        <v>732.11080000000004</v>
      </c>
      <c r="G42" s="22"/>
      <c r="H42" s="14"/>
      <c r="I42" s="14"/>
      <c r="J42" s="14"/>
      <c r="K42" s="14"/>
    </row>
    <row r="43" spans="1:27" s="16" customFormat="1" ht="11.25" x14ac:dyDescent="0.2">
      <c r="B43" s="14"/>
      <c r="C43" s="14"/>
      <c r="D43" s="14"/>
      <c r="E43" s="14"/>
      <c r="F43" s="35"/>
      <c r="G43" s="22"/>
      <c r="H43" s="14"/>
      <c r="I43" s="14"/>
      <c r="J43" s="14"/>
      <c r="K43" s="14"/>
    </row>
    <row r="44" spans="1:27" s="16" customFormat="1" ht="12" thickBot="1" x14ac:dyDescent="0.25">
      <c r="B44" s="14"/>
      <c r="C44" s="14" t="s">
        <v>18</v>
      </c>
      <c r="D44" s="14"/>
      <c r="E44" s="14"/>
      <c r="F44" s="27">
        <f>+F38+F42</f>
        <v>1275.8715999999999</v>
      </c>
      <c r="G44" s="36">
        <f>+F44</f>
        <v>1275.8715999999999</v>
      </c>
      <c r="H44" s="14"/>
      <c r="I44" s="14"/>
      <c r="J44" s="14"/>
      <c r="K44" s="14"/>
    </row>
    <row r="45" spans="1:27" s="16" customFormat="1" ht="12" thickTop="1" x14ac:dyDescent="0.2">
      <c r="B45" s="14"/>
      <c r="C45" s="14"/>
      <c r="D45" s="14"/>
      <c r="E45" s="14"/>
      <c r="F45" s="14"/>
      <c r="G45" s="14"/>
      <c r="H45" s="14"/>
      <c r="I45" s="14"/>
      <c r="J45" s="14"/>
      <c r="K45" s="14"/>
    </row>
    <row r="46" spans="1:27" s="16" customFormat="1" ht="11.25" x14ac:dyDescent="0.2">
      <c r="B46" s="14"/>
      <c r="C46" s="14"/>
      <c r="D46" s="14"/>
      <c r="E46" s="14"/>
      <c r="F46" s="14"/>
      <c r="G46" s="14"/>
      <c r="H46" s="14"/>
      <c r="I46" s="14"/>
      <c r="J46" s="14"/>
      <c r="K46" s="14"/>
    </row>
    <row r="47" spans="1:27" s="16" customFormat="1" ht="12" thickBot="1" x14ac:dyDescent="0.25">
      <c r="B47" s="14"/>
      <c r="C47" s="14"/>
      <c r="D47" s="14"/>
      <c r="E47" s="14"/>
      <c r="F47" s="31" t="str">
        <f>IF(G47&lt;=0,"Excess","Deficient")&amp;" Commodity Credits"</f>
        <v>Excess Commodity Credits</v>
      </c>
      <c r="G47" s="37">
        <f>+G34-G44</f>
        <v>-155.43086255500066</v>
      </c>
      <c r="H47" s="14"/>
      <c r="I47" s="14"/>
      <c r="J47" s="14"/>
      <c r="K47" s="14"/>
    </row>
    <row r="48" spans="1:27" s="16" customFormat="1" ht="12" thickTop="1" x14ac:dyDescent="0.2">
      <c r="B48" s="14"/>
      <c r="C48" s="14"/>
      <c r="D48" s="14"/>
      <c r="E48" s="14"/>
      <c r="F48" s="14"/>
      <c r="G48" s="14"/>
      <c r="H48" s="14"/>
      <c r="I48" s="14"/>
      <c r="J48" s="14"/>
      <c r="K48" s="14"/>
      <c r="Y48" s="14"/>
    </row>
    <row r="49" spans="1:27" s="16" customFormat="1" ht="11.25" x14ac:dyDescent="0.2">
      <c r="B49" s="14"/>
      <c r="C49" s="14"/>
      <c r="D49" s="14"/>
      <c r="E49" s="14"/>
      <c r="F49" s="14"/>
      <c r="G49" s="14"/>
      <c r="H49" s="14"/>
      <c r="I49" s="14"/>
      <c r="J49" s="14"/>
      <c r="K49" s="14"/>
    </row>
    <row r="50" spans="1:27" s="16" customFormat="1" ht="12" thickBot="1" x14ac:dyDescent="0.25">
      <c r="B50" s="28" t="str">
        <f>$K$21+1&amp;" Recycle Adjustment Calculation"</f>
        <v>2019 Recycle Adjustment Calculation</v>
      </c>
      <c r="C50" s="29"/>
      <c r="D50" s="29"/>
      <c r="E50" s="29"/>
      <c r="F50" s="29"/>
      <c r="G50" s="14"/>
      <c r="H50" s="14"/>
      <c r="I50" s="14"/>
      <c r="J50" s="14"/>
      <c r="K50" s="14"/>
    </row>
    <row r="51" spans="1:27" s="16" customFormat="1" ht="12" thickTop="1" x14ac:dyDescent="0.2">
      <c r="B51" s="30"/>
      <c r="C51" s="14"/>
      <c r="D51" s="14"/>
      <c r="E51" s="14"/>
      <c r="F51" s="14"/>
      <c r="G51" s="14"/>
      <c r="H51" s="14"/>
      <c r="I51" s="14"/>
      <c r="J51" s="14"/>
      <c r="K51" s="14"/>
      <c r="L51" s="14"/>
      <c r="M51" s="14"/>
      <c r="N51" s="14"/>
      <c r="O51" s="14"/>
      <c r="P51" s="14"/>
      <c r="Q51" s="14"/>
      <c r="R51" s="14"/>
      <c r="S51" s="14"/>
      <c r="T51" s="14"/>
      <c r="U51" s="14"/>
      <c r="V51" s="14"/>
      <c r="W51" s="14"/>
      <c r="AA51" s="14"/>
    </row>
    <row r="52" spans="1:27" s="16" customFormat="1" ht="11.25" x14ac:dyDescent="0.2">
      <c r="B52" s="14" t="str">
        <f>$K$10&amp;"/"&amp;$K$21&amp;" True-up Computation"</f>
        <v>2017/2018 True-up Computation</v>
      </c>
      <c r="C52" s="14"/>
      <c r="D52" s="14"/>
      <c r="E52" s="14"/>
      <c r="F52" s="14"/>
      <c r="G52" s="14"/>
      <c r="H52" s="14"/>
      <c r="I52" s="14"/>
      <c r="J52" s="14"/>
      <c r="K52" s="14"/>
    </row>
    <row r="53" spans="1:27" s="16" customFormat="1" ht="11.25" x14ac:dyDescent="0.2">
      <c r="B53" s="14"/>
      <c r="C53" s="14"/>
      <c r="D53" s="14"/>
      <c r="E53" s="14"/>
      <c r="F53" s="31" t="s">
        <v>19</v>
      </c>
      <c r="G53" s="14">
        <f>+J25</f>
        <v>4996.16</v>
      </c>
      <c r="H53" s="22" t="s">
        <v>13</v>
      </c>
      <c r="I53" s="14"/>
      <c r="J53" s="14"/>
      <c r="K53" s="14"/>
    </row>
    <row r="54" spans="1:27" s="16" customFormat="1" ht="11.25" x14ac:dyDescent="0.2">
      <c r="B54" s="14"/>
      <c r="C54" s="14"/>
      <c r="D54" s="14"/>
      <c r="E54" s="14"/>
      <c r="F54" s="31" t="str">
        <f>F47</f>
        <v>Excess Commodity Credits</v>
      </c>
      <c r="G54" s="14">
        <f>+G47</f>
        <v>-155.43086255500066</v>
      </c>
      <c r="H54" s="14"/>
      <c r="I54" s="14"/>
      <c r="J54" s="14"/>
      <c r="K54" s="14"/>
    </row>
    <row r="55" spans="1:27" s="16" customFormat="1" ht="11.25" x14ac:dyDescent="0.2">
      <c r="B55" s="14"/>
      <c r="C55" s="14"/>
      <c r="D55" s="14"/>
      <c r="E55" s="14"/>
      <c r="F55" s="31"/>
      <c r="G55" s="14"/>
      <c r="H55" s="14"/>
      <c r="I55" s="14"/>
      <c r="J55" s="14"/>
      <c r="K55" s="14"/>
    </row>
    <row r="56" spans="1:27" s="16" customFormat="1" ht="12" thickBot="1" x14ac:dyDescent="0.25">
      <c r="B56" s="14"/>
      <c r="C56" s="14"/>
      <c r="D56" s="14"/>
      <c r="E56" s="14"/>
      <c r="F56" s="31" t="str">
        <f>$K$10&amp;"/"&amp;$K$21&amp;" Monthly True-up Charge"</f>
        <v>2017/2018 Monthly True-up Charge</v>
      </c>
      <c r="G56" s="370">
        <f>ROUND(G54/G53,2)</f>
        <v>-0.03</v>
      </c>
      <c r="H56" s="14"/>
      <c r="I56" s="24">
        <f>+G56</f>
        <v>-0.03</v>
      </c>
      <c r="J56" s="14"/>
      <c r="K56" s="14"/>
    </row>
    <row r="57" spans="1:27" s="16" customFormat="1" ht="12" thickTop="1" x14ac:dyDescent="0.2">
      <c r="B57" s="14"/>
      <c r="C57" s="14"/>
      <c r="D57" s="14"/>
      <c r="E57" s="14"/>
      <c r="F57" s="31"/>
      <c r="G57" s="14"/>
      <c r="H57" s="14"/>
      <c r="I57" s="24"/>
      <c r="J57" s="14"/>
      <c r="K57" s="14"/>
      <c r="O57" s="356" t="s">
        <v>67</v>
      </c>
      <c r="Y57" s="14"/>
    </row>
    <row r="58" spans="1:27" s="16" customFormat="1" ht="11.25" x14ac:dyDescent="0.2">
      <c r="B58" s="14" t="str">
        <f>$K$21&amp;"/"&amp;$K$21+1&amp;" Projected Credit at 50% Retention"</f>
        <v>2018/2019 Projected Credit at 50% Retention</v>
      </c>
      <c r="C58" s="14"/>
      <c r="D58" s="14"/>
      <c r="E58" s="14"/>
      <c r="F58" s="31"/>
      <c r="G58" s="14"/>
      <c r="H58" s="14"/>
      <c r="I58" s="24"/>
      <c r="J58" s="14"/>
      <c r="K58" s="14"/>
      <c r="O58" s="355">
        <f>+'[11]WUTC_AW of Kent_MF'!$O$56</f>
        <v>0.5</v>
      </c>
    </row>
    <row r="59" spans="1:27" s="16" customFormat="1" ht="12" thickBot="1" x14ac:dyDescent="0.25">
      <c r="B59" s="30"/>
      <c r="C59" s="14"/>
      <c r="D59" s="14"/>
      <c r="E59" s="14"/>
      <c r="F59" s="31" t="s">
        <v>54</v>
      </c>
      <c r="G59" s="369">
        <f>+F27/'Value MF 2018'!$P$20*$O$58</f>
        <v>0.1469898848360785</v>
      </c>
      <c r="H59" s="14"/>
      <c r="I59" s="24">
        <f>+G59</f>
        <v>0.1469898848360785</v>
      </c>
      <c r="J59" s="22" t="s">
        <v>12</v>
      </c>
      <c r="K59" s="14"/>
    </row>
    <row r="60" spans="1:27" s="14" customFormat="1" ht="12" thickTop="1" x14ac:dyDescent="0.2">
      <c r="B60" s="30"/>
      <c r="I60" s="24"/>
      <c r="X60" s="16"/>
      <c r="Y60" s="16"/>
    </row>
    <row r="61" spans="1:27" s="16" customFormat="1" ht="12" thickBot="1" x14ac:dyDescent="0.25">
      <c r="B61" s="14"/>
      <c r="C61" s="14"/>
      <c r="D61" s="14"/>
      <c r="E61" s="14"/>
      <c r="F61" s="14"/>
      <c r="G61" s="31" t="str">
        <f>$K$21+1&amp;" Adjusted Credit"</f>
        <v>2019 Adjusted Credit</v>
      </c>
      <c r="H61" s="27"/>
      <c r="I61" s="38">
        <f>+I56+I59</f>
        <v>0.1169898848360785</v>
      </c>
      <c r="J61" s="14"/>
    </row>
    <row r="62" spans="1:27" s="16" customFormat="1" ht="12" thickTop="1" x14ac:dyDescent="0.2">
      <c r="I62" s="24"/>
    </row>
    <row r="63" spans="1:27" s="16" customFormat="1" ht="11.25" x14ac:dyDescent="0.2">
      <c r="G63" s="109" t="s">
        <v>89</v>
      </c>
      <c r="I63" s="16">
        <f>+I61*3.5</f>
        <v>0.40946459692627474</v>
      </c>
    </row>
    <row r="64" spans="1:27" s="16" customFormat="1" ht="11.25" x14ac:dyDescent="0.2">
      <c r="A64" s="117"/>
      <c r="B64" s="117"/>
      <c r="C64" s="117"/>
      <c r="D64" s="117"/>
      <c r="E64" s="117"/>
      <c r="F64" s="117"/>
      <c r="G64" s="109"/>
    </row>
    <row r="65" spans="1:27" s="16" customFormat="1" ht="11.25" x14ac:dyDescent="0.2">
      <c r="A65" s="156"/>
      <c r="B65" s="157"/>
      <c r="C65" s="158"/>
      <c r="D65" s="158"/>
      <c r="E65" s="158"/>
      <c r="F65" s="159"/>
      <c r="G65" s="109"/>
    </row>
    <row r="66" spans="1:27" s="16" customFormat="1" ht="11.25" x14ac:dyDescent="0.2">
      <c r="A66" s="120"/>
      <c r="B66" s="159"/>
      <c r="C66" s="159"/>
      <c r="D66" s="159"/>
      <c r="E66" s="159"/>
      <c r="F66" s="159"/>
      <c r="G66" s="160"/>
      <c r="H66" s="160"/>
      <c r="I66" s="160"/>
      <c r="J66" s="160"/>
      <c r="K66" s="160"/>
      <c r="Y66" s="14"/>
    </row>
    <row r="67" spans="1:27" s="16" customFormat="1" ht="11.25" x14ac:dyDescent="0.2">
      <c r="A67" s="120"/>
      <c r="B67" s="16" t="s">
        <v>223</v>
      </c>
      <c r="C67" s="159"/>
      <c r="D67" s="159"/>
      <c r="E67" s="159"/>
      <c r="F67" s="159"/>
      <c r="G67" s="109" t="s">
        <v>90</v>
      </c>
      <c r="I67" s="350"/>
    </row>
    <row r="68" spans="1:27" s="16" customFormat="1" ht="11.25" x14ac:dyDescent="0.2">
      <c r="A68" s="162"/>
      <c r="B68" s="34"/>
      <c r="C68" s="34"/>
      <c r="D68" s="117"/>
      <c r="E68" s="34"/>
      <c r="F68" s="117"/>
      <c r="G68" s="14"/>
      <c r="H68" s="14"/>
      <c r="I68" s="14"/>
    </row>
    <row r="69" spans="1:27" s="16" customFormat="1" ht="11.25" x14ac:dyDescent="0.2">
      <c r="A69" s="162"/>
      <c r="B69" s="163"/>
      <c r="C69" s="34"/>
      <c r="D69" s="117"/>
      <c r="E69" s="34"/>
      <c r="F69" s="117"/>
      <c r="G69" s="109" t="s">
        <v>92</v>
      </c>
      <c r="I69" s="302">
        <f>I67/(B25)</f>
        <v>0</v>
      </c>
    </row>
    <row r="70" spans="1:27" s="16" customFormat="1" ht="11.25" x14ac:dyDescent="0.2">
      <c r="A70" s="162"/>
      <c r="B70" s="163"/>
      <c r="C70" s="34"/>
      <c r="D70" s="117"/>
      <c r="E70" s="34"/>
      <c r="F70" s="117"/>
    </row>
    <row r="71" spans="1:27" s="16" customFormat="1" ht="12" thickBot="1" x14ac:dyDescent="0.25">
      <c r="A71" s="162"/>
      <c r="B71" s="163"/>
      <c r="C71" s="34"/>
      <c r="D71" s="117"/>
      <c r="E71" s="34"/>
      <c r="F71" s="117"/>
      <c r="G71" s="31" t="str">
        <f>$K$21+1&amp;" Net Credit/(Debit)"</f>
        <v>2019 Net Credit/(Debit)</v>
      </c>
      <c r="H71" s="27"/>
      <c r="I71" s="368">
        <f>+I61+I69</f>
        <v>0.1169898848360785</v>
      </c>
      <c r="Y71" s="14"/>
    </row>
    <row r="72" spans="1:27" s="16" customFormat="1" ht="12" thickTop="1" x14ac:dyDescent="0.2">
      <c r="A72" s="162"/>
      <c r="B72" s="163"/>
      <c r="C72" s="34"/>
      <c r="D72" s="117"/>
      <c r="E72" s="34"/>
      <c r="F72" s="117"/>
    </row>
    <row r="73" spans="1:27" s="16" customFormat="1" ht="11.25" x14ac:dyDescent="0.2">
      <c r="A73" s="162"/>
      <c r="B73" s="163"/>
      <c r="C73" s="34"/>
      <c r="D73" s="117"/>
      <c r="E73" s="34"/>
      <c r="F73" s="117"/>
      <c r="G73" s="109" t="s">
        <v>93</v>
      </c>
      <c r="I73" s="164">
        <f>+I71*3.5</f>
        <v>0.40946459692627474</v>
      </c>
    </row>
    <row r="74" spans="1:27" s="16" customFormat="1" ht="11.25" x14ac:dyDescent="0.2">
      <c r="A74" s="162"/>
      <c r="B74" s="163"/>
      <c r="C74" s="34"/>
      <c r="D74" s="117"/>
      <c r="E74" s="34"/>
      <c r="F74" s="117"/>
      <c r="G74" s="109" t="s">
        <v>94</v>
      </c>
      <c r="I74" s="16">
        <f>I71*5</f>
        <v>0.58494942418039253</v>
      </c>
    </row>
    <row r="75" spans="1:27" s="16" customFormat="1" ht="11.25" x14ac:dyDescent="0.2">
      <c r="A75" s="162"/>
      <c r="B75" s="163"/>
      <c r="C75" s="34"/>
      <c r="D75" s="117"/>
      <c r="E75" s="34"/>
      <c r="F75" s="117"/>
      <c r="J75" s="14"/>
      <c r="K75" s="13"/>
      <c r="L75" s="14"/>
      <c r="M75" s="14"/>
      <c r="N75" s="14"/>
      <c r="O75" s="14"/>
      <c r="P75" s="14"/>
      <c r="Q75" s="14"/>
      <c r="R75" s="14"/>
      <c r="S75" s="14"/>
      <c r="T75" s="14"/>
      <c r="U75" s="14"/>
      <c r="V75" s="13"/>
      <c r="W75" s="14"/>
      <c r="AA75" s="14"/>
    </row>
    <row r="76" spans="1:27" s="16" customFormat="1" ht="11.25" x14ac:dyDescent="0.2">
      <c r="A76" s="162"/>
      <c r="B76" s="163"/>
      <c r="C76" s="34"/>
      <c r="D76" s="117"/>
      <c r="E76" s="34"/>
      <c r="F76" s="117"/>
    </row>
    <row r="77" spans="1:27" s="16" customFormat="1" ht="11.25" x14ac:dyDescent="0.2">
      <c r="A77" s="162"/>
      <c r="B77" s="163"/>
      <c r="C77" s="34"/>
      <c r="D77" s="117"/>
      <c r="E77" s="34"/>
      <c r="F77" s="117"/>
    </row>
    <row r="78" spans="1:27" s="16" customFormat="1" ht="11.25" x14ac:dyDescent="0.2">
      <c r="A78" s="162"/>
      <c r="B78" s="34"/>
      <c r="C78" s="34"/>
      <c r="D78" s="117"/>
      <c r="E78" s="34"/>
      <c r="F78" s="117"/>
    </row>
    <row r="79" spans="1:27" s="16" customFormat="1" ht="11.25" x14ac:dyDescent="0.2">
      <c r="A79" s="162"/>
      <c r="B79" s="34"/>
      <c r="C79" s="165"/>
      <c r="D79" s="117"/>
      <c r="E79" s="34"/>
      <c r="F79" s="117"/>
    </row>
    <row r="80" spans="1:27" s="16" customFormat="1" x14ac:dyDescent="0.2">
      <c r="A80" s="121"/>
      <c r="B80" s="121"/>
      <c r="C80" s="121"/>
      <c r="D80" s="166"/>
      <c r="E80" s="121"/>
      <c r="F80" s="121"/>
      <c r="Y80" s="14"/>
    </row>
    <row r="81" spans="1:27" s="16" customFormat="1" ht="11.25" x14ac:dyDescent="0.2">
      <c r="A81" s="167"/>
      <c r="B81" s="34"/>
      <c r="C81" s="165"/>
      <c r="D81" s="117"/>
      <c r="E81" s="165"/>
      <c r="F81" s="168"/>
    </row>
    <row r="82" spans="1:27" s="16" customFormat="1" ht="11.25" x14ac:dyDescent="0.2"/>
    <row r="83" spans="1:27" s="16" customFormat="1" ht="11.25" x14ac:dyDescent="0.2"/>
    <row r="84" spans="1:27" s="16" customFormat="1" ht="11.25" x14ac:dyDescent="0.2">
      <c r="B84" s="8"/>
    </row>
    <row r="85" spans="1:27" s="14" customFormat="1" ht="11.25" x14ac:dyDescent="0.2">
      <c r="B85" s="30"/>
      <c r="X85" s="16"/>
      <c r="Y85" s="16"/>
    </row>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row r="92" spans="1:27" s="16" customFormat="1" ht="11.25" x14ac:dyDescent="0.2"/>
    <row r="93" spans="1:27" s="16" customFormat="1" ht="11.25" x14ac:dyDescent="0.2"/>
    <row r="94" spans="1:27" s="16" customFormat="1" ht="11.25" x14ac:dyDescent="0.2">
      <c r="A94" s="6"/>
    </row>
    <row r="95" spans="1:27" s="16" customFormat="1" x14ac:dyDescent="0.2">
      <c r="AA95" s="5"/>
    </row>
    <row r="96" spans="1:27" s="16" customFormat="1" x14ac:dyDescent="0.2">
      <c r="AA96" s="5"/>
    </row>
    <row r="97" spans="7:27" s="16" customFormat="1" x14ac:dyDescent="0.2">
      <c r="AA97" s="5"/>
    </row>
    <row r="98" spans="7:27" s="16" customFormat="1" x14ac:dyDescent="0.2">
      <c r="AA98" s="5"/>
    </row>
    <row r="99" spans="7:27" s="16" customFormat="1" x14ac:dyDescent="0.2">
      <c r="G99" s="49"/>
      <c r="I99" s="49"/>
      <c r="J99" s="49"/>
      <c r="L99" s="49"/>
      <c r="M99" s="49"/>
      <c r="N99" s="49"/>
      <c r="O99" s="49"/>
      <c r="P99" s="49"/>
      <c r="Q99" s="49"/>
      <c r="R99" s="49"/>
      <c r="S99" s="49"/>
      <c r="T99" s="49"/>
      <c r="U99" s="49"/>
      <c r="V99" s="49"/>
      <c r="W99" s="49"/>
      <c r="X99" s="49"/>
      <c r="Y99" s="49"/>
      <c r="AA99" s="5"/>
    </row>
    <row r="100" spans="7:27" s="16" customFormat="1" x14ac:dyDescent="0.2">
      <c r="AA100" s="5"/>
    </row>
    <row r="101" spans="7:27" s="16" customFormat="1" ht="13.5" thickBot="1" x14ac:dyDescent="0.25">
      <c r="G101" s="50"/>
      <c r="I101" s="50"/>
      <c r="J101" s="50"/>
      <c r="L101" s="50"/>
      <c r="M101" s="50"/>
      <c r="N101" s="50"/>
      <c r="O101" s="50"/>
      <c r="P101" s="50"/>
      <c r="Q101" s="50"/>
      <c r="R101" s="50"/>
      <c r="S101" s="50"/>
      <c r="T101" s="50"/>
      <c r="U101" s="50"/>
      <c r="V101" s="50"/>
      <c r="W101" s="50"/>
      <c r="X101" s="50"/>
      <c r="Y101" s="50"/>
      <c r="AA101" s="5"/>
    </row>
    <row r="102" spans="7:27" ht="13.5" thickTop="1" x14ac:dyDescent="0.2"/>
    <row r="103" spans="7:27" x14ac:dyDescent="0.2">
      <c r="W103" s="51"/>
      <c r="X103" s="51"/>
      <c r="Y103" s="51"/>
    </row>
    <row r="104" spans="7:27" x14ac:dyDescent="0.2">
      <c r="W104" s="51"/>
      <c r="AA104" s="51"/>
    </row>
  </sheetData>
  <printOptions horizontalCentered="1"/>
  <pageMargins left="0" right="0" top="0.26" bottom="0.33" header="0" footer="0"/>
  <pageSetup scale="58" orientation="portrait" horizontalDpi="4294967292" verticalDpi="4294967292" r:id="rId1"/>
  <headerFooter alignWithMargins="0">
    <oddFooter>&amp;R&amp;"Helv,Regular"&amp;6\\SERVER1\DPUBLIC\EXCEL\WUTC\&amp;F, &amp;A, &amp;D, &amp;T, Page &amp;P of &amp;N</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R120"/>
  <sheetViews>
    <sheetView topLeftCell="F1" zoomScaleNormal="100" workbookViewId="0">
      <selection activeCell="K42" sqref="K42"/>
    </sheetView>
  </sheetViews>
  <sheetFormatPr defaultRowHeight="12.75" x14ac:dyDescent="0.2"/>
  <cols>
    <col min="1" max="1" width="9.140625" style="186"/>
    <col min="2" max="2" width="6.5703125" style="186" customWidth="1"/>
    <col min="3" max="13" width="10.7109375" style="186" customWidth="1"/>
    <col min="14" max="14" width="3.7109375" style="304" customWidth="1"/>
    <col min="15" max="15" width="10.7109375" style="186" customWidth="1"/>
    <col min="16" max="16" width="14.5703125" style="186" bestFit="1" customWidth="1"/>
    <col min="17" max="16384" width="9.140625" style="186"/>
  </cols>
  <sheetData>
    <row r="1" spans="1:18" x14ac:dyDescent="0.2">
      <c r="A1" s="320" t="str">
        <f>"Commodity Value Timeframe:  "&amp;TEXT(A7,"mmmm")&amp;" - "&amp;TEXT(A18,"mmmm")</f>
        <v>Commodity Value Timeframe:  May - April</v>
      </c>
      <c r="B1" s="319"/>
    </row>
    <row r="2" spans="1:18" ht="13.5" customHeight="1" x14ac:dyDescent="0.2">
      <c r="A2" s="318" t="str">
        <f>'WUTC_KENT_MF 2018'!A1</f>
        <v>Kent-Meridian Disposal</v>
      </c>
      <c r="B2" s="318"/>
    </row>
    <row r="3" spans="1:18" ht="13.5" customHeight="1" x14ac:dyDescent="0.2">
      <c r="A3" s="318"/>
      <c r="B3" s="318"/>
    </row>
    <row r="4" spans="1:18" x14ac:dyDescent="0.2">
      <c r="B4" s="314"/>
      <c r="C4" s="316" t="s">
        <v>21</v>
      </c>
      <c r="D4" s="316" t="s">
        <v>22</v>
      </c>
      <c r="E4" s="316" t="s">
        <v>55</v>
      </c>
      <c r="F4" s="316" t="s">
        <v>23</v>
      </c>
      <c r="G4" s="316" t="s">
        <v>24</v>
      </c>
      <c r="H4" s="316" t="s">
        <v>25</v>
      </c>
      <c r="I4" s="316" t="s">
        <v>26</v>
      </c>
      <c r="J4" s="316" t="s">
        <v>27</v>
      </c>
      <c r="K4" s="316" t="s">
        <v>28</v>
      </c>
      <c r="L4" s="316" t="s">
        <v>29</v>
      </c>
      <c r="M4" s="316" t="s">
        <v>30</v>
      </c>
      <c r="N4" s="186"/>
      <c r="O4" s="317"/>
    </row>
    <row r="5" spans="1:18" x14ac:dyDescent="0.2">
      <c r="B5" s="314"/>
      <c r="C5" s="314"/>
      <c r="D5" s="314"/>
      <c r="E5" s="314"/>
      <c r="F5" s="314"/>
      <c r="G5" s="314"/>
      <c r="H5" s="314"/>
      <c r="I5" s="314"/>
      <c r="J5" s="314"/>
      <c r="K5" s="314"/>
      <c r="L5" s="314"/>
      <c r="M5" s="314"/>
      <c r="N5" s="186"/>
      <c r="O5" s="317" t="str">
        <f>+TEXT(P20,"00.0%")&amp;" of"</f>
        <v>50.0% of</v>
      </c>
    </row>
    <row r="6" spans="1:18" x14ac:dyDescent="0.2">
      <c r="B6" s="314"/>
      <c r="C6" s="314"/>
      <c r="D6" s="314"/>
      <c r="E6" s="314"/>
      <c r="F6" s="314"/>
      <c r="G6" s="314"/>
      <c r="H6" s="314"/>
      <c r="I6" s="314"/>
      <c r="J6" s="314"/>
      <c r="K6" s="314"/>
      <c r="L6" s="314"/>
      <c r="M6" s="314"/>
      <c r="N6" s="186"/>
      <c r="O6" s="317" t="s">
        <v>30</v>
      </c>
      <c r="P6" s="316" t="s">
        <v>68</v>
      </c>
      <c r="Q6" s="315"/>
    </row>
    <row r="7" spans="1:18" x14ac:dyDescent="0.2">
      <c r="A7" s="313">
        <f>+'Pricing MF 2018'!A7</f>
        <v>42886</v>
      </c>
      <c r="B7" s="314"/>
      <c r="C7" s="311">
        <f>'Commodity Tonnages MF 2018'!C7*'Pricing MF 2018'!C7</f>
        <v>21.049387500000002</v>
      </c>
      <c r="D7" s="311">
        <f>'Commodity Tonnages MF 2018'!D7*'Pricing MF 2018'!D7</f>
        <v>-8.7199527999999997</v>
      </c>
      <c r="E7" s="311">
        <f>'Commodity Tonnages MF 2018'!E7*'Pricing MF 2018'!E7</f>
        <v>0</v>
      </c>
      <c r="F7" s="311">
        <f>'Commodity Tonnages MF 2018'!F7*'Pricing MF 2018'!F7</f>
        <v>3.6822884999999999</v>
      </c>
      <c r="G7" s="311">
        <f>'Commodity Tonnages MF 2018'!G7*'Pricing MF 2018'!G7</f>
        <v>39.473849999999999</v>
      </c>
      <c r="H7" s="311">
        <f>'Commodity Tonnages MF 2018'!H7*'Pricing MF 2018'!H7</f>
        <v>59.994461199999982</v>
      </c>
      <c r="I7" s="311">
        <f>'Commodity Tonnages MF 2018'!I7*'Pricing MF 2018'!I7</f>
        <v>6.4382334500000011</v>
      </c>
      <c r="J7" s="311">
        <f>'Commodity Tonnages MF 2018'!J7*'Pricing MF 2018'!J7</f>
        <v>6.4382334500000011</v>
      </c>
      <c r="K7" s="311">
        <f>'Commodity Tonnages MF 2018'!K7*'Pricing MF 2018'!K7</f>
        <v>73.295085600000007</v>
      </c>
      <c r="L7" s="311">
        <f>'Commodity Tonnages MF 2018'!L7*'Pricing MF 2018'!L7</f>
        <v>-24.741679700000056</v>
      </c>
      <c r="M7" s="352">
        <f t="shared" ref="M7:M18" si="0">SUM(C7:L7)</f>
        <v>176.90990719999994</v>
      </c>
      <c r="N7" s="186"/>
      <c r="O7" s="139">
        <f t="shared" ref="O7:O18" si="1">M7*P7</f>
        <v>88.454953599999968</v>
      </c>
      <c r="P7" s="362">
        <v>0.5</v>
      </c>
      <c r="Q7" s="373"/>
      <c r="R7" s="68"/>
    </row>
    <row r="8" spans="1:18" x14ac:dyDescent="0.2">
      <c r="A8" s="313">
        <f>+'Pricing MF 2018'!A8</f>
        <v>42916</v>
      </c>
      <c r="B8" s="314"/>
      <c r="C8" s="311">
        <f>'Commodity Tonnages MF 2018'!C8*'Pricing MF 2018'!C8</f>
        <v>33.873127500000002</v>
      </c>
      <c r="D8" s="311">
        <f>'Commodity Tonnages MF 2018'!D8*'Pricing MF 2018'!D8</f>
        <v>-5.714176000000001</v>
      </c>
      <c r="E8" s="311">
        <f>'Commodity Tonnages MF 2018'!E8*'Pricing MF 2018'!E8</f>
        <v>0</v>
      </c>
      <c r="F8" s="311">
        <f>'Commodity Tonnages MF 2018'!F8*'Pricing MF 2018'!F8</f>
        <v>5.7560909999999996</v>
      </c>
      <c r="G8" s="311">
        <f>'Commodity Tonnages MF 2018'!G8*'Pricing MF 2018'!G8</f>
        <v>83.76283500000001</v>
      </c>
      <c r="H8" s="311">
        <f>'Commodity Tonnages MF 2018'!H8*'Pricing MF 2018'!H8</f>
        <v>128.18709919999989</v>
      </c>
      <c r="I8" s="311">
        <f>'Commodity Tonnages MF 2018'!I8*'Pricing MF 2018'!I8</f>
        <v>8.0040984999999996</v>
      </c>
      <c r="J8" s="311">
        <f>'Commodity Tonnages MF 2018'!J8*'Pricing MF 2018'!J8</f>
        <v>8.0040984999999996</v>
      </c>
      <c r="K8" s="311">
        <f>'Commodity Tonnages MF 2018'!K8*'Pricing MF 2018'!K8</f>
        <v>143.55364320000001</v>
      </c>
      <c r="L8" s="311">
        <f>'Commodity Tonnages MF 2018'!L8*'Pricing MF 2018'!L8</f>
        <v>-40.304994350000086</v>
      </c>
      <c r="M8" s="352">
        <f t="shared" si="0"/>
        <v>365.12182254999982</v>
      </c>
      <c r="N8" s="186"/>
      <c r="O8" s="139">
        <f t="shared" si="1"/>
        <v>182.56091127499991</v>
      </c>
      <c r="P8" s="362">
        <v>0.5</v>
      </c>
      <c r="Q8" s="373"/>
      <c r="R8" s="68"/>
    </row>
    <row r="9" spans="1:18" x14ac:dyDescent="0.2">
      <c r="A9" s="313">
        <f>+'Pricing MF 2018'!A9</f>
        <v>42947</v>
      </c>
      <c r="B9" s="305"/>
      <c r="C9" s="311">
        <f>'Commodity Tonnages MF 2018'!C9*'Pricing MF 2018'!C9</f>
        <v>22.278382499999999</v>
      </c>
      <c r="D9" s="311">
        <f>'Commodity Tonnages MF 2018'!D9*'Pricing MF 2018'!D9</f>
        <v>-3.9850896800000006</v>
      </c>
      <c r="E9" s="311">
        <f>'Commodity Tonnages MF 2018'!E9*'Pricing MF 2018'!E9</f>
        <v>0</v>
      </c>
      <c r="F9" s="311">
        <f>'Commodity Tonnages MF 2018'!F9*'Pricing MF 2018'!F9</f>
        <v>3.8052019499999998</v>
      </c>
      <c r="G9" s="311">
        <f>'Commodity Tonnages MF 2018'!G9*'Pricing MF 2018'!G9</f>
        <v>65.537472000000008</v>
      </c>
      <c r="H9" s="311">
        <f>'Commodity Tonnages MF 2018'!H9*'Pricing MF 2018'!H9</f>
        <v>102.53526271999996</v>
      </c>
      <c r="I9" s="311">
        <f>'Commodity Tonnages MF 2018'!I9*'Pricing MF 2018'!I9</f>
        <v>4.7884839750000001</v>
      </c>
      <c r="J9" s="311">
        <f>'Commodity Tonnages MF 2018'!J9*'Pricing MF 2018'!J9</f>
        <v>4.7884839750000001</v>
      </c>
      <c r="K9" s="311">
        <f>'Commodity Tonnages MF 2018'!K9*'Pricing MF 2018'!K9</f>
        <v>99.225127979999996</v>
      </c>
      <c r="L9" s="311">
        <f>'Commodity Tonnages MF 2018'!L9*'Pricing MF 2018'!L9</f>
        <v>-27.215847670000063</v>
      </c>
      <c r="M9" s="352">
        <f t="shared" si="0"/>
        <v>271.75747774999985</v>
      </c>
      <c r="N9" s="307"/>
      <c r="O9" s="139">
        <f t="shared" si="1"/>
        <v>135.87873887499993</v>
      </c>
      <c r="P9" s="362">
        <v>0.5</v>
      </c>
      <c r="Q9" s="373"/>
      <c r="R9" s="68"/>
    </row>
    <row r="10" spans="1:18" x14ac:dyDescent="0.2">
      <c r="A10" s="313">
        <f>+'Pricing MF 2018'!A10</f>
        <v>42978</v>
      </c>
      <c r="B10" s="305"/>
      <c r="C10" s="311">
        <f>'Commodity Tonnages MF 2018'!C10*'Pricing MF 2018'!C10</f>
        <v>33.747293999999997</v>
      </c>
      <c r="D10" s="311">
        <f>'Commodity Tonnages MF 2018'!D10*'Pricing MF 2018'!D10</f>
        <v>-3.8135406399999998</v>
      </c>
      <c r="E10" s="311">
        <f>'Commodity Tonnages MF 2018'!E10*'Pricing MF 2018'!E10</f>
        <v>0</v>
      </c>
      <c r="F10" s="311">
        <f>'Commodity Tonnages MF 2018'!F10*'Pricing MF 2018'!F10</f>
        <v>6.4054105499999991</v>
      </c>
      <c r="G10" s="311">
        <f>'Commodity Tonnages MF 2018'!G10*'Pricing MF 2018'!G10</f>
        <v>79.111714499999991</v>
      </c>
      <c r="H10" s="311">
        <f>'Commodity Tonnages MF 2018'!H10*'Pricing MF 2018'!H10</f>
        <v>123.48550465999993</v>
      </c>
      <c r="I10" s="311">
        <f>'Commodity Tonnages MF 2018'!I10*'Pricing MF 2018'!I10</f>
        <v>9.2641967950000002</v>
      </c>
      <c r="J10" s="311">
        <f>'Commodity Tonnages MF 2018'!J10*'Pricing MF 2018'!J10</f>
        <v>9.2641967950000002</v>
      </c>
      <c r="K10" s="311">
        <f>'Commodity Tonnages MF 2018'!K10*'Pricing MF 2018'!K10</f>
        <v>129.06635741999997</v>
      </c>
      <c r="L10" s="311">
        <f>'Commodity Tonnages MF 2018'!L10*'Pricing MF 2018'!L10</f>
        <v>-39.666499390000084</v>
      </c>
      <c r="M10" s="352">
        <f t="shared" si="0"/>
        <v>346.86463468999983</v>
      </c>
      <c r="N10" s="307"/>
      <c r="O10" s="139">
        <f t="shared" si="1"/>
        <v>173.43231734499992</v>
      </c>
      <c r="P10" s="362">
        <v>0.5</v>
      </c>
      <c r="Q10" s="373"/>
      <c r="R10" s="68"/>
    </row>
    <row r="11" spans="1:18" x14ac:dyDescent="0.2">
      <c r="A11" s="313">
        <f>+'Pricing MF 2018'!A11</f>
        <v>43008</v>
      </c>
      <c r="B11" s="305"/>
      <c r="C11" s="311">
        <f>'Commodity Tonnages MF 2018'!C11*'Pricing MF 2018'!C11</f>
        <v>24.161338499999999</v>
      </c>
      <c r="D11" s="311">
        <f>'Commodity Tonnages MF 2018'!D11*'Pricing MF 2018'!D11</f>
        <v>-3.3524462400000004</v>
      </c>
      <c r="E11" s="311">
        <f>'Commodity Tonnages MF 2018'!E11*'Pricing MF 2018'!E11</f>
        <v>0</v>
      </c>
      <c r="F11" s="311">
        <f>'Commodity Tonnages MF 2018'!F11*'Pricing MF 2018'!F11</f>
        <v>4.8257781</v>
      </c>
      <c r="G11" s="311">
        <f>'Commodity Tonnages MF 2018'!G11*'Pricing MF 2018'!G11</f>
        <v>41.536482000000007</v>
      </c>
      <c r="H11" s="311">
        <f>'Commodity Tonnages MF 2018'!H11*'Pricing MF 2018'!H11</f>
        <v>62.92251939999997</v>
      </c>
      <c r="I11" s="311">
        <f>'Commodity Tonnages MF 2018'!I11*'Pricing MF 2018'!I11</f>
        <v>5.4710200999999996</v>
      </c>
      <c r="J11" s="311">
        <f>'Commodity Tonnages MF 2018'!J11*'Pricing MF 2018'!J11</f>
        <v>5.4710200999999996</v>
      </c>
      <c r="K11" s="311">
        <f>'Commodity Tonnages MF 2018'!K11*'Pricing MF 2018'!K11</f>
        <v>66.664334879999998</v>
      </c>
      <c r="L11" s="311">
        <f>'Commodity Tonnages MF 2018'!L11*'Pricing MF 2018'!L11</f>
        <v>-26.976412060000062</v>
      </c>
      <c r="M11" s="352">
        <f t="shared" si="0"/>
        <v>180.72363477999991</v>
      </c>
      <c r="N11" s="307"/>
      <c r="O11" s="139">
        <f t="shared" si="1"/>
        <v>90.361817389999956</v>
      </c>
      <c r="P11" s="362">
        <v>0.5</v>
      </c>
      <c r="Q11" s="373"/>
      <c r="R11" s="68"/>
    </row>
    <row r="12" spans="1:18" x14ac:dyDescent="0.2">
      <c r="A12" s="313">
        <f>+'Pricing MF 2018'!A12</f>
        <v>43039</v>
      </c>
      <c r="B12" s="305"/>
      <c r="C12" s="311">
        <f>'Commodity Tonnages MF 2018'!C12*'Pricing MF 2018'!C12</f>
        <v>25.817190749999998</v>
      </c>
      <c r="D12" s="311">
        <f>'Commodity Tonnages MF 2018'!D12*'Pricing MF 2018'!D12</f>
        <v>-5.4485870399999996</v>
      </c>
      <c r="E12" s="311">
        <f>'Commodity Tonnages MF 2018'!E12*'Pricing MF 2018'!E12</f>
        <v>0</v>
      </c>
      <c r="F12" s="311">
        <f>'Commodity Tonnages MF 2018'!F12*'Pricing MF 2018'!F12</f>
        <v>4.4050149000000003</v>
      </c>
      <c r="G12" s="311">
        <f>'Commodity Tonnages MF 2018'!G12*'Pricing MF 2018'!G12</f>
        <v>41.292868499999997</v>
      </c>
      <c r="H12" s="311">
        <f>'Commodity Tonnages MF 2018'!H12*'Pricing MF 2018'!H12</f>
        <v>62.371983959999952</v>
      </c>
      <c r="I12" s="311">
        <f>'Commodity Tonnages MF 2018'!I12*'Pricing MF 2018'!I12</f>
        <v>3.8052278549999996</v>
      </c>
      <c r="J12" s="311">
        <f>'Commodity Tonnages MF 2018'!J12*'Pricing MF 2018'!J12</f>
        <v>3.8052278549999996</v>
      </c>
      <c r="K12" s="311">
        <f>'Commodity Tonnages MF 2018'!K12*'Pricing MF 2018'!K12</f>
        <v>51.145663139999996</v>
      </c>
      <c r="L12" s="311">
        <f>'Commodity Tonnages MF 2018'!L12*'Pricing MF 2018'!L12</f>
        <v>-28.013966370000059</v>
      </c>
      <c r="M12" s="352">
        <f t="shared" si="0"/>
        <v>159.18062354999989</v>
      </c>
      <c r="N12" s="307"/>
      <c r="O12" s="139">
        <f t="shared" si="1"/>
        <v>79.590311774999947</v>
      </c>
      <c r="P12" s="362">
        <v>0.5</v>
      </c>
      <c r="Q12" s="373"/>
      <c r="R12" s="68"/>
    </row>
    <row r="13" spans="1:18" x14ac:dyDescent="0.2">
      <c r="A13" s="313">
        <f>+'Pricing MF 2018'!A13</f>
        <v>43069</v>
      </c>
      <c r="B13" s="305"/>
      <c r="C13" s="311">
        <f>'Commodity Tonnages MF 2018'!C13*'Pricing MF 2018'!C13</f>
        <v>24.340083</v>
      </c>
      <c r="D13" s="311">
        <f>'Commodity Tonnages MF 2018'!D13*'Pricing MF 2018'!D13</f>
        <v>-1.48218512</v>
      </c>
      <c r="E13" s="311">
        <f>'Commodity Tonnages MF 2018'!E13*'Pricing MF 2018'!E13</f>
        <v>0</v>
      </c>
      <c r="F13" s="311">
        <f>'Commodity Tonnages MF 2018'!F13*'Pricing MF 2018'!F13</f>
        <v>4.3029887999999996</v>
      </c>
      <c r="G13" s="311">
        <f>'Commodity Tonnages MF 2018'!G13*'Pricing MF 2018'!G13</f>
        <v>42.940209000000003</v>
      </c>
      <c r="H13" s="311">
        <f>'Commodity Tonnages MF 2018'!H13*'Pricing MF 2018'!H13</f>
        <v>56.803814199999962</v>
      </c>
      <c r="I13" s="311">
        <f>'Commodity Tonnages MF 2018'!I13*'Pricing MF 2018'!I13</f>
        <v>3.7528991499999993</v>
      </c>
      <c r="J13" s="311">
        <f>'Commodity Tonnages MF 2018'!J13*'Pricing MF 2018'!J13</f>
        <v>3.7528991499999993</v>
      </c>
      <c r="K13" s="311">
        <f>'Commodity Tonnages MF 2018'!K13*'Pricing MF 2018'!K13</f>
        <v>67.958565839999991</v>
      </c>
      <c r="L13" s="311">
        <f>'Commodity Tonnages MF 2018'!L13*'Pricing MF 2018'!L13</f>
        <v>-26.65716458000006</v>
      </c>
      <c r="M13" s="352">
        <f t="shared" si="0"/>
        <v>175.71210943999986</v>
      </c>
      <c r="N13" s="307"/>
      <c r="O13" s="139">
        <f t="shared" si="1"/>
        <v>87.856054719999932</v>
      </c>
      <c r="P13" s="362">
        <v>0.5</v>
      </c>
      <c r="Q13" s="373"/>
      <c r="R13" s="68"/>
    </row>
    <row r="14" spans="1:18" x14ac:dyDescent="0.2">
      <c r="A14" s="313">
        <f>+'Pricing MF 2018'!A14</f>
        <v>43100</v>
      </c>
      <c r="B14" s="305"/>
      <c r="C14" s="311">
        <f>'Commodity Tonnages MF 2018'!C14*'Pricing MF 2018'!C14</f>
        <v>23.433641999999999</v>
      </c>
      <c r="D14" s="311">
        <f>'Commodity Tonnages MF 2018'!D14*'Pricing MF 2018'!D14</f>
        <v>-5.3688148800000004</v>
      </c>
      <c r="E14" s="311">
        <f>'Commodity Tonnages MF 2018'!E14*'Pricing MF 2018'!E14</f>
        <v>0</v>
      </c>
      <c r="F14" s="311">
        <f>'Commodity Tonnages MF 2018'!F14*'Pricing MF 2018'!F14</f>
        <v>4.69322865</v>
      </c>
      <c r="G14" s="311">
        <f>'Commodity Tonnages MF 2018'!G14*'Pricing MF 2018'!G14</f>
        <v>39.866755499999996</v>
      </c>
      <c r="H14" s="311">
        <f>'Commodity Tonnages MF 2018'!H14*'Pricing MF 2018'!H14</f>
        <v>51.524942639999978</v>
      </c>
      <c r="I14" s="311">
        <f>'Commodity Tonnages MF 2018'!I14*'Pricing MF 2018'!I14</f>
        <v>3.7235727150000004</v>
      </c>
      <c r="J14" s="311">
        <f>'Commodity Tonnages MF 2018'!J14*'Pricing MF 2018'!J14</f>
        <v>3.7235727150000004</v>
      </c>
      <c r="K14" s="311">
        <f>'Commodity Tonnages MF 2018'!K14*'Pricing MF 2018'!K14</f>
        <v>61.532406539999997</v>
      </c>
      <c r="L14" s="311">
        <f>'Commodity Tonnages MF 2018'!L14*'Pricing MF 2018'!L14</f>
        <v>-25.619610270000056</v>
      </c>
      <c r="M14" s="352">
        <f t="shared" si="0"/>
        <v>157.50969560999991</v>
      </c>
      <c r="N14" s="307"/>
      <c r="O14" s="139">
        <f t="shared" si="1"/>
        <v>78.754847804999955</v>
      </c>
      <c r="P14" s="362">
        <v>0.5</v>
      </c>
      <c r="Q14" s="373"/>
      <c r="R14" s="68"/>
    </row>
    <row r="15" spans="1:18" x14ac:dyDescent="0.2">
      <c r="A15" s="313">
        <f>+'Pricing MF 2018'!A15</f>
        <v>43131</v>
      </c>
      <c r="B15" s="305"/>
      <c r="C15" s="311">
        <f>'Commodity Tonnages MF 2018'!C15*'Pricing MF 2018'!C15</f>
        <v>32.897824499999999</v>
      </c>
      <c r="D15" s="311">
        <f>'Commodity Tonnages MF 2018'!D15*'Pricing MF 2018'!D15</f>
        <v>-7.6401291200000019</v>
      </c>
      <c r="E15" s="311">
        <f>'Commodity Tonnages MF 2018'!E15*'Pricing MF 2018'!E15</f>
        <v>0</v>
      </c>
      <c r="F15" s="311">
        <f>'Commodity Tonnages MF 2018'!F15*'Pricing MF 2018'!F15</f>
        <v>7.3559772000000008</v>
      </c>
      <c r="G15" s="311">
        <f>'Commodity Tonnages MF 2018'!G15*'Pricing MF 2018'!G15</f>
        <v>33.605130000000003</v>
      </c>
      <c r="H15" s="311">
        <f>'Commodity Tonnages MF 2018'!H15*'Pricing MF 2018'!H15</f>
        <v>55.972636979999962</v>
      </c>
      <c r="I15" s="311">
        <f>'Commodity Tonnages MF 2018'!I15*'Pricing MF 2018'!I15</f>
        <v>5.1948222399999997</v>
      </c>
      <c r="J15" s="311">
        <f>'Commodity Tonnages MF 2018'!J15*'Pricing MF 2018'!J15</f>
        <v>5.1948222399999997</v>
      </c>
      <c r="K15" s="311">
        <f>'Commodity Tonnages MF 2018'!K15*'Pricing MF 2018'!K15</f>
        <v>81.088074540000008</v>
      </c>
      <c r="L15" s="311">
        <f>'Commodity Tonnages MF 2018'!L15*'Pricing MF 2018'!L15</f>
        <v>-34.558539710000076</v>
      </c>
      <c r="M15" s="352">
        <f t="shared" si="0"/>
        <v>179.11061886999988</v>
      </c>
      <c r="N15" s="307"/>
      <c r="O15" s="139">
        <f t="shared" si="1"/>
        <v>89.555309434999941</v>
      </c>
      <c r="P15" s="362">
        <v>0.5</v>
      </c>
      <c r="Q15" s="373"/>
      <c r="R15" s="68"/>
    </row>
    <row r="16" spans="1:18" x14ac:dyDescent="0.2">
      <c r="A16" s="313">
        <f>+'Pricing MF 2018'!A16</f>
        <v>43159</v>
      </c>
      <c r="B16" s="305"/>
      <c r="C16" s="311">
        <f>'Commodity Tonnages MF 2018'!C16*'Pricing MF 2018'!C16</f>
        <v>23.34598875</v>
      </c>
      <c r="D16" s="311">
        <f>'Commodity Tonnages MF 2018'!D16*'Pricing MF 2018'!D16</f>
        <v>-4.4609291999999998</v>
      </c>
      <c r="E16" s="311">
        <f>'Commodity Tonnages MF 2018'!E16*'Pricing MF 2018'!E16</f>
        <v>0</v>
      </c>
      <c r="F16" s="311">
        <f>'Commodity Tonnages MF 2018'!F16*'Pricing MF 2018'!F16</f>
        <v>4.8191220000000001</v>
      </c>
      <c r="G16" s="311">
        <f>'Commodity Tonnages MF 2018'!G16*'Pricing MF 2018'!G16</f>
        <v>-11.136352499999999</v>
      </c>
      <c r="H16" s="311">
        <f>'Commodity Tonnages MF 2018'!H16*'Pricing MF 2018'!H16</f>
        <v>-22.108142699999984</v>
      </c>
      <c r="I16" s="311">
        <f>'Commodity Tonnages MF 2018'!I16*'Pricing MF 2018'!I16</f>
        <v>6.0343242750000003</v>
      </c>
      <c r="J16" s="311">
        <f>'Commodity Tonnages MF 2018'!J16*'Pricing MF 2018'!J16</f>
        <v>6.0343242750000003</v>
      </c>
      <c r="K16" s="311">
        <f>'Commodity Tonnages MF 2018'!K16*'Pricing MF 2018'!K16</f>
        <v>35.229070799999995</v>
      </c>
      <c r="L16" s="311">
        <f>'Commodity Tonnages MF 2018'!L16*'Pricing MF 2018'!L16</f>
        <v>-25.140739050000054</v>
      </c>
      <c r="M16" s="352">
        <f t="shared" si="0"/>
        <v>12.61666664999996</v>
      </c>
      <c r="N16" s="307"/>
      <c r="O16" s="139">
        <f t="shared" si="1"/>
        <v>6.30833332499998</v>
      </c>
      <c r="P16" s="362">
        <v>0.5</v>
      </c>
      <c r="Q16" s="373"/>
      <c r="R16" s="68"/>
    </row>
    <row r="17" spans="1:18" x14ac:dyDescent="0.2">
      <c r="A17" s="313">
        <f>+'Pricing MF 2018'!A17</f>
        <v>43190</v>
      </c>
      <c r="B17" s="305"/>
      <c r="C17" s="311">
        <f>'Commodity Tonnages MF 2018'!C17*'Pricing MF 2018'!C17</f>
        <v>50.900215499999995</v>
      </c>
      <c r="D17" s="311">
        <f>'Commodity Tonnages MF 2018'!D17*'Pricing MF 2018'!D17</f>
        <v>-11.042928</v>
      </c>
      <c r="E17" s="311">
        <f>'Commodity Tonnages MF 2018'!E17*'Pricing MF 2018'!E17</f>
        <v>0</v>
      </c>
      <c r="F17" s="311">
        <f>'Commodity Tonnages MF 2018'!F17*'Pricing MF 2018'!F17</f>
        <v>12.218217000000001</v>
      </c>
      <c r="G17" s="311">
        <f>'Commodity Tonnages MF 2018'!G17*'Pricing MF 2018'!G17</f>
        <v>-21.964059000000002</v>
      </c>
      <c r="H17" s="311">
        <f>'Commodity Tonnages MF 2018'!H17*'Pricing MF 2018'!H17</f>
        <v>-47.770115879999992</v>
      </c>
      <c r="I17" s="311">
        <f>'Commodity Tonnages MF 2018'!I17*'Pricing MF 2018'!I17</f>
        <v>16.396707720000002</v>
      </c>
      <c r="J17" s="311">
        <f>'Commodity Tonnages MF 2018'!J17*'Pricing MF 2018'!J17</f>
        <v>16.396707720000002</v>
      </c>
      <c r="K17" s="311">
        <f>'Commodity Tonnages MF 2018'!K17*'Pricing MF 2018'!K17</f>
        <v>70.108976519999999</v>
      </c>
      <c r="L17" s="311">
        <f>'Commodity Tonnages MF 2018'!L17*'Pricing MF 2018'!L17</f>
        <v>-55.389437780000122</v>
      </c>
      <c r="M17" s="352">
        <f t="shared" si="0"/>
        <v>29.854283799999891</v>
      </c>
      <c r="N17" s="307"/>
      <c r="O17" s="139">
        <f t="shared" si="1"/>
        <v>14.927141899999945</v>
      </c>
      <c r="P17" s="362">
        <v>0.5</v>
      </c>
      <c r="Q17" s="373"/>
      <c r="R17" s="68"/>
    </row>
    <row r="18" spans="1:18" x14ac:dyDescent="0.2">
      <c r="A18" s="313">
        <f>+'Pricing MF 2018'!A18</f>
        <v>43220</v>
      </c>
      <c r="B18" s="305"/>
      <c r="C18" s="311">
        <f>'Commodity Tonnages MF 2018'!C18*'Pricing MF 2018'!C18</f>
        <v>74.834171999999995</v>
      </c>
      <c r="D18" s="311">
        <f>'Commodity Tonnages MF 2018'!D18*'Pricing MF 2018'!D18</f>
        <v>-18.231333120000002</v>
      </c>
      <c r="E18" s="311">
        <f>'Commodity Tonnages MF 2018'!E18*'Pricing MF 2018'!E18</f>
        <v>0</v>
      </c>
      <c r="F18" s="311">
        <f>'Commodity Tonnages MF 2018'!F18*'Pricing MF 2018'!F18</f>
        <v>18.213703200000001</v>
      </c>
      <c r="G18" s="311">
        <f>'Commodity Tonnages MF 2018'!G18*'Pricing MF 2018'!G18</f>
        <v>0</v>
      </c>
      <c r="H18" s="311">
        <f>'Commodity Tonnages MF 2018'!H18*'Pricing MF 2018'!H18</f>
        <v>-107.26039295999998</v>
      </c>
      <c r="I18" s="311">
        <f>'Commodity Tonnages MF 2018'!I18*'Pricing MF 2018'!I18</f>
        <v>24.419601360000001</v>
      </c>
      <c r="J18" s="311">
        <f>'Commodity Tonnages MF 2018'!J18*'Pricing MF 2018'!J18</f>
        <v>24.419601360000001</v>
      </c>
      <c r="K18" s="311">
        <f>'Commodity Tonnages MF 2018'!K18*'Pricing MF 2018'!K18</f>
        <v>103.48230816</v>
      </c>
      <c r="L18" s="311">
        <f>'Commodity Tonnages MF 2018'!L18*'Pricing MF 2018'!L18</f>
        <v>-80.450364960000172</v>
      </c>
      <c r="M18" s="352">
        <f t="shared" si="0"/>
        <v>39.427295039999848</v>
      </c>
      <c r="N18" s="307"/>
      <c r="O18" s="139">
        <f t="shared" si="1"/>
        <v>19.713647519999924</v>
      </c>
      <c r="P18" s="362">
        <v>0.5</v>
      </c>
      <c r="Q18" s="373"/>
      <c r="R18" s="68"/>
    </row>
    <row r="19" spans="1:18" ht="6.75" customHeight="1" x14ac:dyDescent="0.2">
      <c r="A19" s="305"/>
      <c r="B19" s="305"/>
      <c r="C19" s="311"/>
      <c r="D19" s="311"/>
      <c r="E19" s="311"/>
      <c r="F19" s="311"/>
      <c r="G19" s="311"/>
      <c r="H19" s="311"/>
      <c r="I19" s="311"/>
      <c r="J19" s="311"/>
      <c r="K19" s="311"/>
      <c r="L19" s="311"/>
      <c r="M19" s="352"/>
      <c r="N19" s="186"/>
      <c r="O19" s="307"/>
    </row>
    <row r="20" spans="1:18" x14ac:dyDescent="0.2">
      <c r="A20" s="310" t="s">
        <v>33</v>
      </c>
      <c r="B20" s="305"/>
      <c r="C20" s="309">
        <f t="shared" ref="C20:L20" si="2">SUM(C7:C19)</f>
        <v>390.67864650000001</v>
      </c>
      <c r="D20" s="309">
        <f t="shared" si="2"/>
        <v>-79.260111840000008</v>
      </c>
      <c r="E20" s="309">
        <f t="shared" si="2"/>
        <v>0</v>
      </c>
      <c r="F20" s="309">
        <f t="shared" si="2"/>
        <v>80.48302185</v>
      </c>
      <c r="G20" s="309">
        <f t="shared" si="2"/>
        <v>434.026905</v>
      </c>
      <c r="H20" s="309">
        <f t="shared" si="2"/>
        <v>526.65957341999956</v>
      </c>
      <c r="I20" s="309">
        <f t="shared" si="2"/>
        <v>97.293188135000008</v>
      </c>
      <c r="J20" s="309">
        <f t="shared" si="2"/>
        <v>97.293188135000008</v>
      </c>
      <c r="K20" s="309">
        <f t="shared" si="2"/>
        <v>982.34961462000001</v>
      </c>
      <c r="L20" s="309">
        <f t="shared" si="2"/>
        <v>-434.73525589000093</v>
      </c>
      <c r="M20" s="353">
        <f>SUM(C20:L20)</f>
        <v>2094.7887699299986</v>
      </c>
      <c r="N20" s="306"/>
      <c r="O20" s="308">
        <f>SUM(O7:O19)</f>
        <v>1047.3943849649993</v>
      </c>
      <c r="P20" s="113">
        <f>+O20/M20</f>
        <v>0.5</v>
      </c>
      <c r="Q20" s="304"/>
    </row>
    <row r="21" spans="1:18" x14ac:dyDescent="0.2">
      <c r="A21" s="305"/>
      <c r="B21" s="305"/>
      <c r="C21" s="307"/>
      <c r="D21" s="307"/>
      <c r="E21" s="307"/>
      <c r="F21" s="307"/>
      <c r="G21" s="307"/>
      <c r="H21" s="307"/>
      <c r="I21" s="307"/>
      <c r="J21" s="307"/>
      <c r="K21" s="307"/>
      <c r="L21" s="307"/>
      <c r="M21" s="352"/>
      <c r="N21" s="186"/>
      <c r="O21" s="304"/>
    </row>
    <row r="22" spans="1:18" x14ac:dyDescent="0.2">
      <c r="A22" s="305"/>
      <c r="B22" s="305"/>
      <c r="C22" s="305"/>
      <c r="D22" s="305"/>
      <c r="E22" s="305"/>
      <c r="F22" s="305"/>
      <c r="G22" s="305"/>
      <c r="H22" s="305"/>
      <c r="I22" s="305"/>
      <c r="J22" s="305"/>
      <c r="K22" s="305"/>
      <c r="L22" s="305"/>
      <c r="M22" s="344"/>
      <c r="N22" s="186"/>
      <c r="O22" s="304"/>
    </row>
    <row r="23" spans="1:18" x14ac:dyDescent="0.2">
      <c r="A23" s="305"/>
      <c r="B23" s="305"/>
      <c r="C23" s="305"/>
      <c r="D23" s="305"/>
      <c r="E23" s="305"/>
      <c r="F23" s="305"/>
      <c r="G23" s="305"/>
      <c r="H23" s="305"/>
      <c r="I23" s="305"/>
      <c r="J23" s="305"/>
      <c r="K23" s="305"/>
    </row>
    <row r="24" spans="1:18" x14ac:dyDescent="0.2">
      <c r="A24" s="305"/>
      <c r="B24" s="305"/>
      <c r="C24" s="305"/>
      <c r="D24" s="305"/>
      <c r="E24" s="305"/>
      <c r="F24" s="305"/>
      <c r="G24" s="305"/>
      <c r="H24" s="305"/>
      <c r="I24" s="305"/>
      <c r="J24" s="305"/>
      <c r="K24" s="305"/>
    </row>
    <row r="25" spans="1:18" x14ac:dyDescent="0.2">
      <c r="A25" s="305"/>
      <c r="B25" s="305"/>
      <c r="C25" s="305"/>
      <c r="D25" s="305"/>
      <c r="E25" s="305"/>
      <c r="F25" s="305"/>
      <c r="G25" s="305"/>
      <c r="H25" s="305"/>
      <c r="I25" s="305"/>
      <c r="J25" s="305"/>
      <c r="K25" s="305"/>
    </row>
    <row r="26" spans="1:18" x14ac:dyDescent="0.2">
      <c r="A26" s="305"/>
      <c r="B26" s="305"/>
      <c r="C26" s="305"/>
      <c r="D26" s="305"/>
      <c r="E26" s="305"/>
      <c r="F26" s="305"/>
      <c r="G26" s="305"/>
      <c r="H26" s="305"/>
      <c r="I26" s="305"/>
      <c r="J26" s="305"/>
      <c r="K26" s="305"/>
    </row>
    <row r="27" spans="1:18" x14ac:dyDescent="0.2">
      <c r="A27" s="305"/>
      <c r="B27" s="305"/>
      <c r="C27" s="305"/>
      <c r="D27" s="305"/>
      <c r="E27" s="305"/>
      <c r="F27" s="305"/>
      <c r="G27" s="305"/>
      <c r="H27" s="305"/>
      <c r="I27" s="305"/>
      <c r="J27" s="305"/>
      <c r="K27" s="305"/>
    </row>
    <row r="28" spans="1:18" x14ac:dyDescent="0.2">
      <c r="A28" s="305"/>
      <c r="B28" s="305"/>
      <c r="C28" s="305"/>
      <c r="D28" s="305"/>
      <c r="E28" s="305"/>
      <c r="F28" s="305"/>
      <c r="G28" s="305"/>
      <c r="H28" s="305"/>
      <c r="I28" s="305"/>
      <c r="J28" s="305"/>
      <c r="K28" s="305"/>
    </row>
    <row r="29" spans="1:18" x14ac:dyDescent="0.2">
      <c r="A29" s="305"/>
      <c r="B29" s="305"/>
      <c r="C29" s="305"/>
      <c r="D29" s="305"/>
      <c r="E29" s="305"/>
      <c r="F29" s="305"/>
      <c r="G29" s="305"/>
      <c r="H29" s="305"/>
      <c r="I29" s="305"/>
      <c r="J29" s="305"/>
      <c r="K29" s="305"/>
    </row>
    <row r="30" spans="1:18" x14ac:dyDescent="0.2">
      <c r="A30" s="305"/>
      <c r="B30" s="305"/>
      <c r="C30" s="305"/>
      <c r="D30" s="305"/>
      <c r="E30" s="305"/>
      <c r="F30" s="305"/>
      <c r="G30" s="305"/>
      <c r="H30" s="305"/>
      <c r="I30" s="305"/>
      <c r="J30" s="305"/>
      <c r="K30" s="305"/>
    </row>
    <row r="31" spans="1:18" x14ac:dyDescent="0.2">
      <c r="A31" s="305"/>
      <c r="B31" s="305"/>
      <c r="C31" s="305"/>
      <c r="D31" s="305"/>
      <c r="E31" s="305"/>
      <c r="F31" s="305"/>
      <c r="G31" s="305"/>
      <c r="H31" s="305"/>
      <c r="I31" s="305"/>
      <c r="J31" s="305"/>
      <c r="K31" s="305"/>
    </row>
    <row r="32" spans="1:18" x14ac:dyDescent="0.2">
      <c r="A32" s="305"/>
      <c r="B32" s="305"/>
      <c r="C32" s="305"/>
      <c r="D32" s="305"/>
      <c r="E32" s="305"/>
      <c r="F32" s="305"/>
      <c r="G32" s="305"/>
      <c r="H32" s="305"/>
      <c r="I32" s="305"/>
      <c r="J32" s="305"/>
      <c r="K32" s="305"/>
    </row>
    <row r="33" spans="1:11" x14ac:dyDescent="0.2">
      <c r="A33" s="305"/>
      <c r="B33" s="305"/>
      <c r="C33" s="305"/>
      <c r="D33" s="305"/>
      <c r="E33" s="305"/>
      <c r="F33" s="305"/>
      <c r="G33" s="305"/>
      <c r="H33" s="305"/>
      <c r="I33" s="305"/>
      <c r="J33" s="305"/>
      <c r="K33" s="305"/>
    </row>
    <row r="34" spans="1:11" x14ac:dyDescent="0.2">
      <c r="A34" s="305"/>
      <c r="B34" s="305"/>
      <c r="C34" s="305"/>
      <c r="D34" s="305"/>
      <c r="E34" s="305"/>
      <c r="F34" s="305"/>
      <c r="G34" s="305"/>
      <c r="H34" s="305"/>
      <c r="I34" s="305"/>
      <c r="J34" s="305"/>
      <c r="K34" s="305"/>
    </row>
    <row r="35" spans="1:11" x14ac:dyDescent="0.2">
      <c r="A35" s="305"/>
      <c r="B35" s="305"/>
      <c r="C35" s="305"/>
      <c r="D35" s="305"/>
      <c r="E35" s="305"/>
      <c r="F35" s="305"/>
      <c r="G35" s="305"/>
      <c r="H35" s="305"/>
      <c r="I35" s="305"/>
      <c r="J35" s="305"/>
      <c r="K35" s="305"/>
    </row>
    <row r="36" spans="1:11" x14ac:dyDescent="0.2">
      <c r="A36" s="305"/>
      <c r="B36" s="305"/>
      <c r="C36" s="305"/>
      <c r="D36" s="305"/>
      <c r="E36" s="305"/>
      <c r="F36" s="305"/>
      <c r="G36" s="305"/>
      <c r="H36" s="305"/>
      <c r="I36" s="305"/>
      <c r="J36" s="305"/>
      <c r="K36" s="305"/>
    </row>
    <row r="37" spans="1:11" x14ac:dyDescent="0.2">
      <c r="A37" s="305"/>
      <c r="B37" s="305"/>
      <c r="C37" s="305"/>
      <c r="D37" s="305"/>
      <c r="E37" s="305"/>
      <c r="F37" s="305"/>
      <c r="G37" s="305"/>
      <c r="H37" s="305"/>
      <c r="I37" s="305"/>
      <c r="J37" s="305"/>
      <c r="K37" s="305"/>
    </row>
    <row r="38" spans="1:11" x14ac:dyDescent="0.2">
      <c r="A38" s="305"/>
      <c r="B38" s="305"/>
      <c r="C38" s="305"/>
      <c r="D38" s="305"/>
      <c r="E38" s="305"/>
      <c r="F38" s="305"/>
      <c r="G38" s="305"/>
      <c r="H38" s="305"/>
      <c r="I38" s="305"/>
      <c r="J38" s="305"/>
      <c r="K38" s="305"/>
    </row>
    <row r="39" spans="1:11" x14ac:dyDescent="0.2">
      <c r="A39" s="305"/>
      <c r="B39" s="305"/>
      <c r="C39" s="305"/>
      <c r="D39" s="305"/>
      <c r="E39" s="305"/>
      <c r="F39" s="305"/>
      <c r="G39" s="305"/>
      <c r="H39" s="305"/>
      <c r="I39" s="305"/>
      <c r="J39" s="305"/>
      <c r="K39" s="305"/>
    </row>
    <row r="40" spans="1:11" x14ac:dyDescent="0.2">
      <c r="A40" s="305"/>
      <c r="B40" s="305"/>
      <c r="C40" s="305"/>
      <c r="D40" s="305"/>
      <c r="E40" s="305"/>
      <c r="F40" s="305"/>
      <c r="G40" s="305"/>
      <c r="H40" s="305"/>
      <c r="I40" s="305"/>
      <c r="J40" s="305"/>
      <c r="K40" s="305"/>
    </row>
    <row r="41" spans="1:11" x14ac:dyDescent="0.2">
      <c r="A41" s="305"/>
      <c r="B41" s="305"/>
      <c r="C41" s="305"/>
      <c r="D41" s="305"/>
      <c r="E41" s="305"/>
      <c r="F41" s="305"/>
      <c r="G41" s="305"/>
      <c r="H41" s="305"/>
      <c r="I41" s="305"/>
      <c r="J41" s="305"/>
      <c r="K41" s="305"/>
    </row>
    <row r="42" spans="1:11" x14ac:dyDescent="0.2">
      <c r="A42" s="305"/>
      <c r="B42" s="305"/>
      <c r="C42" s="305"/>
      <c r="D42" s="305"/>
      <c r="E42" s="305"/>
      <c r="F42" s="305"/>
      <c r="G42" s="305"/>
      <c r="H42" s="305"/>
      <c r="I42" s="305"/>
      <c r="J42" s="305"/>
      <c r="K42" s="305"/>
    </row>
    <row r="43" spans="1:11" x14ac:dyDescent="0.2">
      <c r="A43" s="305"/>
      <c r="B43" s="305"/>
      <c r="C43" s="305"/>
      <c r="D43" s="305"/>
      <c r="E43" s="305"/>
      <c r="F43" s="305"/>
      <c r="G43" s="305"/>
      <c r="H43" s="305"/>
      <c r="I43" s="305"/>
      <c r="J43" s="305"/>
      <c r="K43" s="305"/>
    </row>
    <row r="44" spans="1:11" x14ac:dyDescent="0.2">
      <c r="A44" s="305"/>
      <c r="B44" s="305"/>
      <c r="C44" s="305"/>
      <c r="D44" s="305"/>
      <c r="E44" s="305"/>
      <c r="F44" s="305"/>
      <c r="G44" s="305"/>
      <c r="H44" s="305"/>
      <c r="I44" s="305"/>
      <c r="J44" s="305"/>
      <c r="K44" s="305"/>
    </row>
    <row r="45" spans="1:11" x14ac:dyDescent="0.2">
      <c r="A45" s="305"/>
      <c r="B45" s="305"/>
      <c r="C45" s="305"/>
      <c r="D45" s="305"/>
      <c r="E45" s="305"/>
      <c r="F45" s="305"/>
      <c r="G45" s="305"/>
      <c r="H45" s="305"/>
      <c r="I45" s="305"/>
      <c r="J45" s="305"/>
      <c r="K45" s="305"/>
    </row>
    <row r="46" spans="1:11" x14ac:dyDescent="0.2">
      <c r="A46" s="305"/>
      <c r="B46" s="305"/>
      <c r="C46" s="305"/>
      <c r="D46" s="305"/>
      <c r="E46" s="305"/>
      <c r="F46" s="305"/>
      <c r="G46" s="305"/>
      <c r="H46" s="305"/>
      <c r="I46" s="305"/>
      <c r="J46" s="305"/>
      <c r="K46" s="305"/>
    </row>
    <row r="47" spans="1:11" x14ac:dyDescent="0.2">
      <c r="A47" s="305"/>
      <c r="B47" s="305"/>
      <c r="C47" s="305"/>
      <c r="D47" s="305"/>
      <c r="E47" s="305"/>
      <c r="F47" s="305"/>
      <c r="G47" s="305"/>
      <c r="H47" s="305"/>
      <c r="I47" s="305"/>
      <c r="J47" s="305"/>
      <c r="K47" s="305"/>
    </row>
    <row r="48" spans="1:11" x14ac:dyDescent="0.2">
      <c r="A48" s="305"/>
      <c r="B48" s="305"/>
      <c r="C48" s="305"/>
      <c r="D48" s="305"/>
      <c r="E48" s="305"/>
      <c r="F48" s="305"/>
      <c r="G48" s="305"/>
      <c r="H48" s="305"/>
      <c r="I48" s="305"/>
      <c r="J48" s="305"/>
      <c r="K48" s="305"/>
    </row>
    <row r="49" spans="1:11" x14ac:dyDescent="0.2">
      <c r="A49" s="305"/>
      <c r="B49" s="305"/>
      <c r="C49" s="305"/>
      <c r="D49" s="305"/>
      <c r="E49" s="305"/>
      <c r="F49" s="305"/>
      <c r="G49" s="305"/>
      <c r="H49" s="305"/>
      <c r="I49" s="305"/>
      <c r="J49" s="305"/>
      <c r="K49" s="305"/>
    </row>
    <row r="50" spans="1:11" x14ac:dyDescent="0.2">
      <c r="A50" s="305"/>
      <c r="B50" s="305"/>
      <c r="C50" s="305"/>
      <c r="D50" s="305"/>
      <c r="E50" s="305"/>
      <c r="F50" s="305"/>
      <c r="G50" s="305"/>
      <c r="H50" s="305"/>
      <c r="I50" s="305"/>
      <c r="J50" s="305"/>
      <c r="K50" s="305"/>
    </row>
    <row r="51" spans="1:11" x14ac:dyDescent="0.2">
      <c r="A51" s="305"/>
      <c r="B51" s="305"/>
      <c r="C51" s="305"/>
      <c r="D51" s="305"/>
      <c r="E51" s="305"/>
      <c r="F51" s="305"/>
      <c r="G51" s="305"/>
      <c r="H51" s="305"/>
      <c r="I51" s="305"/>
      <c r="J51" s="305"/>
      <c r="K51" s="305"/>
    </row>
    <row r="52" spans="1:11" x14ac:dyDescent="0.2">
      <c r="A52" s="305"/>
      <c r="B52" s="305"/>
      <c r="C52" s="305"/>
      <c r="D52" s="305"/>
      <c r="E52" s="305"/>
      <c r="F52" s="305"/>
      <c r="G52" s="305"/>
      <c r="H52" s="305"/>
      <c r="I52" s="305"/>
      <c r="J52" s="305"/>
      <c r="K52" s="305"/>
    </row>
    <row r="53" spans="1:11" x14ac:dyDescent="0.2">
      <c r="A53" s="305"/>
      <c r="B53" s="305"/>
      <c r="C53" s="305"/>
      <c r="D53" s="305"/>
      <c r="E53" s="305"/>
      <c r="F53" s="305"/>
      <c r="G53" s="305"/>
      <c r="H53" s="305"/>
      <c r="I53" s="305"/>
      <c r="J53" s="305"/>
      <c r="K53" s="305"/>
    </row>
    <row r="54" spans="1:11" x14ac:dyDescent="0.2">
      <c r="A54" s="305"/>
      <c r="B54" s="305"/>
      <c r="C54" s="305"/>
      <c r="D54" s="305"/>
      <c r="E54" s="305"/>
      <c r="F54" s="305"/>
      <c r="G54" s="305"/>
      <c r="H54" s="305"/>
      <c r="I54" s="305"/>
      <c r="J54" s="305"/>
      <c r="K54" s="305"/>
    </row>
    <row r="55" spans="1:11" x14ac:dyDescent="0.2">
      <c r="A55" s="305"/>
      <c r="B55" s="305"/>
      <c r="C55" s="305"/>
      <c r="D55" s="305"/>
      <c r="E55" s="305"/>
      <c r="F55" s="305"/>
      <c r="G55" s="305"/>
      <c r="H55" s="305"/>
      <c r="I55" s="305"/>
      <c r="J55" s="305"/>
      <c r="K55" s="305"/>
    </row>
    <row r="56" spans="1:11" x14ac:dyDescent="0.2">
      <c r="A56" s="305"/>
      <c r="B56" s="305"/>
      <c r="C56" s="305"/>
      <c r="D56" s="305"/>
      <c r="E56" s="305"/>
      <c r="F56" s="305"/>
      <c r="G56" s="305"/>
      <c r="H56" s="305"/>
      <c r="I56" s="305"/>
      <c r="J56" s="305"/>
      <c r="K56" s="305"/>
    </row>
    <row r="57" spans="1:11" x14ac:dyDescent="0.2">
      <c r="A57" s="305"/>
      <c r="B57" s="305"/>
      <c r="C57" s="305"/>
      <c r="D57" s="305"/>
      <c r="E57" s="305"/>
      <c r="F57" s="305"/>
      <c r="G57" s="305"/>
      <c r="H57" s="305"/>
      <c r="I57" s="305"/>
      <c r="J57" s="305"/>
      <c r="K57" s="305"/>
    </row>
    <row r="58" spans="1:11" x14ac:dyDescent="0.2">
      <c r="A58" s="305"/>
      <c r="B58" s="305"/>
      <c r="C58" s="305"/>
      <c r="D58" s="305"/>
      <c r="E58" s="305"/>
      <c r="F58" s="305"/>
      <c r="G58" s="305"/>
      <c r="H58" s="305"/>
      <c r="I58" s="305"/>
      <c r="J58" s="305"/>
      <c r="K58" s="305"/>
    </row>
    <row r="59" spans="1:11" x14ac:dyDescent="0.2">
      <c r="A59" s="305"/>
      <c r="B59" s="305"/>
      <c r="C59" s="305"/>
      <c r="D59" s="305"/>
      <c r="E59" s="305"/>
      <c r="F59" s="305"/>
      <c r="G59" s="305"/>
      <c r="H59" s="305"/>
      <c r="I59" s="305"/>
      <c r="J59" s="305"/>
      <c r="K59" s="305"/>
    </row>
    <row r="60" spans="1:11" x14ac:dyDescent="0.2">
      <c r="A60" s="305"/>
      <c r="B60" s="305"/>
      <c r="C60" s="305"/>
      <c r="D60" s="305"/>
      <c r="E60" s="305"/>
      <c r="F60" s="305"/>
      <c r="G60" s="305"/>
      <c r="H60" s="305"/>
      <c r="I60" s="305"/>
      <c r="J60" s="305"/>
      <c r="K60" s="305"/>
    </row>
    <row r="61" spans="1:11" x14ac:dyDescent="0.2">
      <c r="A61" s="305"/>
      <c r="B61" s="305"/>
      <c r="C61" s="305"/>
      <c r="D61" s="305"/>
      <c r="E61" s="305"/>
      <c r="F61" s="305"/>
      <c r="G61" s="305"/>
      <c r="H61" s="305"/>
      <c r="I61" s="305"/>
      <c r="J61" s="305"/>
      <c r="K61" s="305"/>
    </row>
    <row r="62" spans="1:11" x14ac:dyDescent="0.2">
      <c r="A62" s="305"/>
      <c r="B62" s="305"/>
      <c r="C62" s="305"/>
      <c r="D62" s="305"/>
      <c r="E62" s="305"/>
      <c r="F62" s="305"/>
      <c r="G62" s="305"/>
      <c r="H62" s="305"/>
      <c r="I62" s="305"/>
      <c r="J62" s="305"/>
      <c r="K62" s="305"/>
    </row>
    <row r="63" spans="1:11" x14ac:dyDescent="0.2">
      <c r="A63" s="305"/>
      <c r="B63" s="305"/>
      <c r="C63" s="305"/>
      <c r="D63" s="305"/>
      <c r="E63" s="305"/>
      <c r="F63" s="305"/>
      <c r="G63" s="305"/>
      <c r="H63" s="305"/>
      <c r="I63" s="305"/>
      <c r="J63" s="305"/>
      <c r="K63" s="305"/>
    </row>
    <row r="64" spans="1:11" x14ac:dyDescent="0.2">
      <c r="A64" s="305"/>
      <c r="B64" s="305"/>
      <c r="C64" s="305"/>
      <c r="D64" s="305"/>
      <c r="E64" s="305"/>
      <c r="F64" s="305"/>
      <c r="G64" s="305"/>
      <c r="H64" s="305"/>
      <c r="I64" s="305"/>
      <c r="J64" s="305"/>
      <c r="K64" s="305"/>
    </row>
    <row r="65" spans="1:11" x14ac:dyDescent="0.2">
      <c r="A65" s="305"/>
      <c r="B65" s="305"/>
      <c r="C65" s="305"/>
      <c r="D65" s="305"/>
      <c r="E65" s="305"/>
      <c r="F65" s="305"/>
      <c r="G65" s="305"/>
      <c r="H65" s="305"/>
      <c r="I65" s="305"/>
      <c r="J65" s="305"/>
      <c r="K65" s="305"/>
    </row>
    <row r="66" spans="1:11" x14ac:dyDescent="0.2">
      <c r="A66" s="305"/>
      <c r="B66" s="305"/>
      <c r="C66" s="305"/>
      <c r="D66" s="305"/>
      <c r="E66" s="305"/>
      <c r="F66" s="305"/>
      <c r="G66" s="305"/>
      <c r="H66" s="305"/>
      <c r="I66" s="305"/>
      <c r="J66" s="305"/>
      <c r="K66" s="305"/>
    </row>
    <row r="67" spans="1:11" x14ac:dyDescent="0.2">
      <c r="A67" s="305"/>
      <c r="B67" s="305"/>
      <c r="C67" s="305"/>
      <c r="D67" s="305"/>
      <c r="E67" s="305"/>
      <c r="F67" s="305"/>
      <c r="G67" s="305"/>
      <c r="H67" s="305"/>
      <c r="I67" s="305"/>
      <c r="J67" s="305"/>
      <c r="K67" s="305"/>
    </row>
    <row r="68" spans="1:11" x14ac:dyDescent="0.2">
      <c r="A68" s="305"/>
      <c r="B68" s="305"/>
      <c r="C68" s="305"/>
      <c r="D68" s="305"/>
      <c r="E68" s="305"/>
      <c r="F68" s="305"/>
      <c r="G68" s="305"/>
      <c r="H68" s="305"/>
      <c r="I68" s="305"/>
      <c r="J68" s="305"/>
      <c r="K68" s="305"/>
    </row>
    <row r="69" spans="1:11" x14ac:dyDescent="0.2">
      <c r="A69" s="305"/>
      <c r="B69" s="305"/>
      <c r="C69" s="305"/>
      <c r="D69" s="305"/>
      <c r="E69" s="305"/>
      <c r="F69" s="305"/>
      <c r="G69" s="305"/>
      <c r="H69" s="305"/>
      <c r="I69" s="305"/>
      <c r="J69" s="305"/>
      <c r="K69" s="305"/>
    </row>
    <row r="70" spans="1:11" x14ac:dyDescent="0.2">
      <c r="A70" s="305"/>
      <c r="B70" s="305"/>
      <c r="C70" s="305"/>
      <c r="D70" s="305"/>
      <c r="E70" s="305"/>
      <c r="F70" s="305"/>
      <c r="G70" s="305"/>
      <c r="H70" s="305"/>
      <c r="I70" s="305"/>
      <c r="J70" s="305"/>
      <c r="K70" s="305"/>
    </row>
    <row r="71" spans="1:11" x14ac:dyDescent="0.2">
      <c r="A71" s="305"/>
      <c r="B71" s="305"/>
      <c r="C71" s="305"/>
      <c r="D71" s="305"/>
      <c r="E71" s="305"/>
      <c r="F71" s="305"/>
      <c r="G71" s="305"/>
      <c r="H71" s="305"/>
      <c r="I71" s="305"/>
      <c r="J71" s="305"/>
      <c r="K71" s="305"/>
    </row>
    <row r="72" spans="1:11" x14ac:dyDescent="0.2">
      <c r="A72" s="305"/>
      <c r="B72" s="305"/>
      <c r="C72" s="305"/>
      <c r="D72" s="305"/>
      <c r="E72" s="305"/>
      <c r="F72" s="305"/>
      <c r="G72" s="305"/>
      <c r="H72" s="305"/>
      <c r="I72" s="305"/>
      <c r="J72" s="305"/>
      <c r="K72" s="305"/>
    </row>
    <row r="73" spans="1:11" x14ac:dyDescent="0.2">
      <c r="A73" s="305"/>
      <c r="B73" s="305"/>
      <c r="C73" s="305"/>
      <c r="D73" s="305"/>
      <c r="E73" s="305"/>
      <c r="F73" s="305"/>
      <c r="G73" s="305"/>
      <c r="H73" s="305"/>
      <c r="I73" s="305"/>
      <c r="J73" s="305"/>
      <c r="K73" s="305"/>
    </row>
    <row r="74" spans="1:11" x14ac:dyDescent="0.2">
      <c r="A74" s="305"/>
      <c r="B74" s="305"/>
      <c r="C74" s="305"/>
      <c r="D74" s="305"/>
      <c r="E74" s="305"/>
      <c r="F74" s="305"/>
      <c r="G74" s="305"/>
      <c r="H74" s="305"/>
      <c r="I74" s="305"/>
      <c r="J74" s="305"/>
      <c r="K74" s="305"/>
    </row>
    <row r="75" spans="1:11" x14ac:dyDescent="0.2">
      <c r="A75" s="305"/>
      <c r="B75" s="305"/>
      <c r="C75" s="305"/>
      <c r="D75" s="305"/>
      <c r="E75" s="305"/>
      <c r="F75" s="305"/>
      <c r="G75" s="305"/>
      <c r="H75" s="305"/>
      <c r="I75" s="305"/>
      <c r="J75" s="305"/>
      <c r="K75" s="305"/>
    </row>
    <row r="76" spans="1:11" x14ac:dyDescent="0.2">
      <c r="A76" s="305"/>
      <c r="B76" s="305"/>
      <c r="C76" s="305"/>
      <c r="D76" s="305"/>
      <c r="E76" s="305"/>
      <c r="F76" s="305"/>
      <c r="G76" s="305"/>
      <c r="H76" s="305"/>
      <c r="I76" s="305"/>
      <c r="J76" s="305"/>
      <c r="K76" s="305"/>
    </row>
    <row r="77" spans="1:11" x14ac:dyDescent="0.2">
      <c r="A77" s="305"/>
      <c r="B77" s="305"/>
      <c r="C77" s="305"/>
      <c r="D77" s="305"/>
      <c r="E77" s="305"/>
      <c r="F77" s="305"/>
      <c r="G77" s="305"/>
      <c r="H77" s="305"/>
      <c r="I77" s="305"/>
      <c r="J77" s="305"/>
      <c r="K77" s="305"/>
    </row>
    <row r="78" spans="1:11" x14ac:dyDescent="0.2">
      <c r="A78" s="305"/>
      <c r="B78" s="305"/>
      <c r="C78" s="305"/>
      <c r="D78" s="305"/>
      <c r="E78" s="305"/>
      <c r="F78" s="305"/>
      <c r="G78" s="305"/>
      <c r="H78" s="305"/>
      <c r="I78" s="305"/>
      <c r="J78" s="305"/>
      <c r="K78" s="305"/>
    </row>
    <row r="79" spans="1:11" x14ac:dyDescent="0.2">
      <c r="A79" s="305"/>
      <c r="B79" s="305"/>
      <c r="C79" s="305"/>
      <c r="D79" s="305"/>
      <c r="E79" s="305"/>
      <c r="F79" s="305"/>
      <c r="G79" s="305"/>
      <c r="H79" s="305"/>
      <c r="I79" s="305"/>
      <c r="J79" s="305"/>
      <c r="K79" s="305"/>
    </row>
    <row r="80" spans="1:11" x14ac:dyDescent="0.2">
      <c r="A80" s="305"/>
      <c r="B80" s="305"/>
      <c r="C80" s="305"/>
      <c r="D80" s="305"/>
      <c r="E80" s="305"/>
      <c r="F80" s="305"/>
      <c r="G80" s="305"/>
      <c r="H80" s="305"/>
      <c r="I80" s="305"/>
      <c r="J80" s="305"/>
      <c r="K80" s="305"/>
    </row>
    <row r="81" spans="1:11" x14ac:dyDescent="0.2">
      <c r="A81" s="305"/>
      <c r="B81" s="305"/>
      <c r="C81" s="305"/>
      <c r="D81" s="305"/>
      <c r="E81" s="305"/>
      <c r="F81" s="305"/>
      <c r="G81" s="305"/>
      <c r="H81" s="305"/>
      <c r="I81" s="305"/>
      <c r="J81" s="305"/>
      <c r="K81" s="305"/>
    </row>
    <row r="82" spans="1:11" x14ac:dyDescent="0.2">
      <c r="A82" s="305"/>
      <c r="B82" s="305"/>
      <c r="C82" s="305"/>
      <c r="D82" s="305"/>
      <c r="E82" s="305"/>
      <c r="F82" s="305"/>
      <c r="G82" s="305"/>
      <c r="H82" s="305"/>
      <c r="I82" s="305"/>
      <c r="J82" s="305"/>
      <c r="K82" s="305"/>
    </row>
    <row r="83" spans="1:11" x14ac:dyDescent="0.2">
      <c r="A83" s="305"/>
      <c r="B83" s="305"/>
      <c r="C83" s="305"/>
      <c r="D83" s="305"/>
      <c r="E83" s="305"/>
      <c r="F83" s="305"/>
      <c r="G83" s="305"/>
      <c r="H83" s="305"/>
      <c r="I83" s="305"/>
      <c r="J83" s="305"/>
      <c r="K83" s="305"/>
    </row>
    <row r="84" spans="1:11" x14ac:dyDescent="0.2">
      <c r="A84" s="305"/>
      <c r="B84" s="305"/>
      <c r="C84" s="305"/>
      <c r="D84" s="305"/>
      <c r="E84" s="305"/>
      <c r="F84" s="305"/>
      <c r="G84" s="305"/>
      <c r="H84" s="305"/>
      <c r="I84" s="305"/>
      <c r="J84" s="305"/>
      <c r="K84" s="305"/>
    </row>
    <row r="85" spans="1:11" x14ac:dyDescent="0.2">
      <c r="A85" s="305"/>
      <c r="B85" s="305"/>
      <c r="C85" s="305"/>
      <c r="D85" s="305"/>
      <c r="E85" s="305"/>
      <c r="F85" s="305"/>
      <c r="G85" s="305"/>
      <c r="H85" s="305"/>
      <c r="I85" s="305"/>
      <c r="J85" s="305"/>
      <c r="K85" s="305"/>
    </row>
    <row r="86" spans="1:11" x14ac:dyDescent="0.2">
      <c r="A86" s="305"/>
      <c r="B86" s="305"/>
      <c r="C86" s="305"/>
      <c r="D86" s="305"/>
      <c r="E86" s="305"/>
      <c r="F86" s="305"/>
      <c r="G86" s="305"/>
      <c r="H86" s="305"/>
      <c r="I86" s="305"/>
      <c r="J86" s="305"/>
      <c r="K86" s="305"/>
    </row>
    <row r="87" spans="1:11" x14ac:dyDescent="0.2">
      <c r="A87" s="305"/>
      <c r="B87" s="305"/>
      <c r="C87" s="305"/>
      <c r="D87" s="305"/>
      <c r="E87" s="305"/>
      <c r="F87" s="305"/>
      <c r="G87" s="305"/>
      <c r="H87" s="305"/>
      <c r="I87" s="305"/>
      <c r="J87" s="305"/>
      <c r="K87" s="305"/>
    </row>
    <row r="88" spans="1:11" x14ac:dyDescent="0.2">
      <c r="A88" s="305"/>
      <c r="B88" s="305"/>
      <c r="C88" s="305"/>
      <c r="D88" s="305"/>
      <c r="E88" s="305"/>
      <c r="F88" s="305"/>
      <c r="G88" s="305"/>
      <c r="H88" s="305"/>
      <c r="I88" s="305"/>
      <c r="J88" s="305"/>
      <c r="K88" s="305"/>
    </row>
    <row r="89" spans="1:11" x14ac:dyDescent="0.2">
      <c r="A89" s="305"/>
      <c r="B89" s="305"/>
      <c r="C89" s="305"/>
      <c r="D89" s="305"/>
      <c r="E89" s="305"/>
      <c r="F89" s="305"/>
      <c r="G89" s="305"/>
      <c r="H89" s="305"/>
      <c r="I89" s="305"/>
      <c r="J89" s="305"/>
      <c r="K89" s="305"/>
    </row>
    <row r="90" spans="1:11" x14ac:dyDescent="0.2">
      <c r="A90" s="305"/>
      <c r="B90" s="305"/>
      <c r="C90" s="305"/>
      <c r="D90" s="305"/>
      <c r="E90" s="305"/>
      <c r="F90" s="305"/>
      <c r="G90" s="305"/>
      <c r="H90" s="305"/>
      <c r="I90" s="305"/>
      <c r="J90" s="305"/>
      <c r="K90" s="305"/>
    </row>
    <row r="91" spans="1:11" x14ac:dyDescent="0.2">
      <c r="A91" s="305"/>
      <c r="B91" s="305"/>
      <c r="C91" s="305"/>
      <c r="D91" s="305"/>
      <c r="E91" s="305"/>
      <c r="F91" s="305"/>
      <c r="G91" s="305"/>
      <c r="H91" s="305"/>
      <c r="I91" s="305"/>
      <c r="J91" s="305"/>
      <c r="K91" s="305"/>
    </row>
    <row r="92" spans="1:11" x14ac:dyDescent="0.2">
      <c r="A92" s="305"/>
      <c r="B92" s="305"/>
      <c r="C92" s="305"/>
      <c r="D92" s="305"/>
      <c r="E92" s="305"/>
      <c r="F92" s="305"/>
      <c r="G92" s="305"/>
      <c r="H92" s="305"/>
      <c r="I92" s="305"/>
      <c r="J92" s="305"/>
      <c r="K92" s="305"/>
    </row>
    <row r="93" spans="1:11" x14ac:dyDescent="0.2">
      <c r="A93" s="305"/>
      <c r="B93" s="305"/>
      <c r="C93" s="305"/>
      <c r="D93" s="305"/>
      <c r="E93" s="305"/>
      <c r="F93" s="305"/>
      <c r="G93" s="305"/>
      <c r="H93" s="305"/>
      <c r="I93" s="305"/>
      <c r="J93" s="305"/>
      <c r="K93" s="305"/>
    </row>
    <row r="94" spans="1:11" x14ac:dyDescent="0.2">
      <c r="A94" s="305"/>
      <c r="B94" s="305"/>
      <c r="C94" s="305"/>
      <c r="D94" s="305"/>
      <c r="E94" s="305"/>
      <c r="F94" s="305"/>
      <c r="G94" s="305"/>
      <c r="H94" s="305"/>
      <c r="I94" s="305"/>
      <c r="J94" s="305"/>
      <c r="K94" s="305"/>
    </row>
    <row r="95" spans="1:11" x14ac:dyDescent="0.2">
      <c r="A95" s="305"/>
      <c r="B95" s="305"/>
      <c r="C95" s="305"/>
      <c r="D95" s="305"/>
      <c r="E95" s="305"/>
      <c r="F95" s="305"/>
      <c r="G95" s="305"/>
      <c r="H95" s="305"/>
      <c r="I95" s="305"/>
      <c r="J95" s="305"/>
      <c r="K95" s="305"/>
    </row>
    <row r="96" spans="1:11" x14ac:dyDescent="0.2">
      <c r="A96" s="305"/>
      <c r="B96" s="305"/>
      <c r="C96" s="305"/>
      <c r="D96" s="305"/>
      <c r="E96" s="305"/>
      <c r="F96" s="305"/>
      <c r="G96" s="305"/>
      <c r="H96" s="305"/>
      <c r="I96" s="305"/>
      <c r="J96" s="305"/>
      <c r="K96" s="305"/>
    </row>
    <row r="97" spans="1:11" x14ac:dyDescent="0.2">
      <c r="A97" s="305"/>
      <c r="B97" s="305"/>
      <c r="C97" s="305"/>
      <c r="D97" s="305"/>
      <c r="E97" s="305"/>
      <c r="F97" s="305"/>
      <c r="G97" s="305"/>
      <c r="H97" s="305"/>
      <c r="I97" s="305"/>
      <c r="J97" s="305"/>
      <c r="K97" s="305"/>
    </row>
    <row r="98" spans="1:11" x14ac:dyDescent="0.2">
      <c r="A98" s="305"/>
      <c r="B98" s="305"/>
      <c r="C98" s="305"/>
      <c r="D98" s="305"/>
      <c r="E98" s="305"/>
      <c r="F98" s="305"/>
      <c r="G98" s="305"/>
      <c r="H98" s="305"/>
      <c r="I98" s="305"/>
      <c r="J98" s="305"/>
      <c r="K98" s="305"/>
    </row>
    <row r="99" spans="1:11" x14ac:dyDescent="0.2">
      <c r="A99" s="305"/>
      <c r="B99" s="305"/>
      <c r="C99" s="305"/>
      <c r="D99" s="305"/>
      <c r="E99" s="305"/>
      <c r="F99" s="305"/>
      <c r="G99" s="305"/>
      <c r="H99" s="305"/>
      <c r="I99" s="305"/>
      <c r="J99" s="305"/>
      <c r="K99" s="305"/>
    </row>
    <row r="100" spans="1:11" x14ac:dyDescent="0.2">
      <c r="A100" s="305"/>
      <c r="B100" s="305"/>
      <c r="C100" s="305"/>
      <c r="D100" s="305"/>
      <c r="E100" s="305"/>
      <c r="F100" s="305"/>
      <c r="G100" s="305"/>
      <c r="H100" s="305"/>
      <c r="I100" s="305"/>
      <c r="J100" s="305"/>
      <c r="K100" s="305"/>
    </row>
    <row r="101" spans="1:11" x14ac:dyDescent="0.2">
      <c r="A101" s="305"/>
      <c r="B101" s="305"/>
      <c r="C101" s="305"/>
      <c r="D101" s="305"/>
      <c r="E101" s="305"/>
      <c r="F101" s="305"/>
      <c r="G101" s="305"/>
      <c r="H101" s="305"/>
      <c r="I101" s="305"/>
      <c r="J101" s="305"/>
      <c r="K101" s="305"/>
    </row>
    <row r="102" spans="1:11" x14ac:dyDescent="0.2">
      <c r="A102" s="305"/>
      <c r="B102" s="305"/>
      <c r="C102" s="305"/>
      <c r="D102" s="305"/>
      <c r="E102" s="305"/>
      <c r="F102" s="305"/>
      <c r="G102" s="305"/>
      <c r="H102" s="305"/>
      <c r="I102" s="305"/>
      <c r="J102" s="305"/>
      <c r="K102" s="305"/>
    </row>
    <row r="103" spans="1:11" x14ac:dyDescent="0.2">
      <c r="A103" s="305"/>
      <c r="B103" s="305"/>
      <c r="C103" s="305"/>
      <c r="D103" s="305"/>
      <c r="E103" s="305"/>
      <c r="F103" s="305"/>
      <c r="G103" s="305"/>
      <c r="H103" s="305"/>
      <c r="I103" s="305"/>
      <c r="J103" s="305"/>
      <c r="K103" s="305"/>
    </row>
    <row r="104" spans="1:11" x14ac:dyDescent="0.2">
      <c r="A104" s="305"/>
      <c r="B104" s="305"/>
      <c r="C104" s="305"/>
      <c r="D104" s="305"/>
      <c r="E104" s="305"/>
      <c r="F104" s="305"/>
      <c r="G104" s="305"/>
      <c r="H104" s="305"/>
      <c r="I104" s="305"/>
      <c r="J104" s="305"/>
      <c r="K104" s="305"/>
    </row>
    <row r="105" spans="1:11" x14ac:dyDescent="0.2">
      <c r="A105" s="305"/>
      <c r="B105" s="305"/>
      <c r="C105" s="305"/>
      <c r="D105" s="305"/>
      <c r="E105" s="305"/>
      <c r="F105" s="305"/>
      <c r="G105" s="305"/>
      <c r="H105" s="305"/>
      <c r="I105" s="305"/>
      <c r="J105" s="305"/>
      <c r="K105" s="305"/>
    </row>
    <row r="106" spans="1:11" x14ac:dyDescent="0.2">
      <c r="A106" s="305"/>
      <c r="B106" s="305"/>
      <c r="C106" s="305"/>
      <c r="D106" s="305"/>
      <c r="E106" s="305"/>
      <c r="F106" s="305"/>
      <c r="G106" s="305"/>
      <c r="H106" s="305"/>
      <c r="I106" s="305"/>
      <c r="J106" s="305"/>
      <c r="K106" s="305"/>
    </row>
    <row r="107" spans="1:11" x14ac:dyDescent="0.2">
      <c r="A107" s="305"/>
      <c r="B107" s="305"/>
      <c r="C107" s="305"/>
      <c r="D107" s="305"/>
      <c r="E107" s="305"/>
      <c r="F107" s="305"/>
      <c r="G107" s="305"/>
      <c r="H107" s="305"/>
      <c r="I107" s="305"/>
      <c r="J107" s="305"/>
      <c r="K107" s="305"/>
    </row>
    <row r="108" spans="1:11" x14ac:dyDescent="0.2">
      <c r="A108" s="305"/>
      <c r="B108" s="305"/>
      <c r="C108" s="305"/>
      <c r="D108" s="305"/>
      <c r="E108" s="305"/>
      <c r="F108" s="305"/>
      <c r="G108" s="305"/>
      <c r="H108" s="305"/>
      <c r="I108" s="305"/>
      <c r="J108" s="305"/>
      <c r="K108" s="305"/>
    </row>
    <row r="109" spans="1:11" x14ac:dyDescent="0.2">
      <c r="A109" s="305"/>
      <c r="B109" s="305"/>
      <c r="C109" s="305"/>
      <c r="D109" s="305"/>
      <c r="E109" s="305"/>
      <c r="F109" s="305"/>
      <c r="G109" s="305"/>
      <c r="H109" s="305"/>
      <c r="I109" s="305"/>
      <c r="J109" s="305"/>
      <c r="K109" s="305"/>
    </row>
    <row r="110" spans="1:11" x14ac:dyDescent="0.2">
      <c r="A110" s="305"/>
      <c r="B110" s="305"/>
      <c r="C110" s="305"/>
      <c r="D110" s="305"/>
      <c r="E110" s="305"/>
      <c r="F110" s="305"/>
      <c r="G110" s="305"/>
      <c r="H110" s="305"/>
      <c r="I110" s="305"/>
      <c r="J110" s="305"/>
      <c r="K110" s="305"/>
    </row>
    <row r="111" spans="1:11" x14ac:dyDescent="0.2">
      <c r="A111" s="305"/>
      <c r="B111" s="305"/>
      <c r="C111" s="305"/>
      <c r="D111" s="305"/>
      <c r="E111" s="305"/>
      <c r="F111" s="305"/>
      <c r="G111" s="305"/>
      <c r="H111" s="305"/>
      <c r="I111" s="305"/>
      <c r="J111" s="305"/>
      <c r="K111" s="305"/>
    </row>
    <row r="112" spans="1:11" x14ac:dyDescent="0.2">
      <c r="A112" s="305"/>
      <c r="B112" s="305"/>
      <c r="C112" s="305"/>
      <c r="D112" s="305"/>
      <c r="E112" s="305"/>
      <c r="F112" s="305"/>
      <c r="G112" s="305"/>
      <c r="H112" s="305"/>
      <c r="I112" s="305"/>
      <c r="J112" s="305"/>
      <c r="K112" s="305"/>
    </row>
    <row r="113" spans="1:11" x14ac:dyDescent="0.2">
      <c r="A113" s="305"/>
      <c r="B113" s="305"/>
      <c r="C113" s="305"/>
      <c r="D113" s="305"/>
      <c r="E113" s="305"/>
      <c r="F113" s="305"/>
      <c r="G113" s="305"/>
      <c r="H113" s="305"/>
      <c r="I113" s="305"/>
      <c r="J113" s="305"/>
      <c r="K113" s="305"/>
    </row>
    <row r="114" spans="1:11" x14ac:dyDescent="0.2">
      <c r="A114" s="305"/>
      <c r="B114" s="305"/>
      <c r="C114" s="305"/>
      <c r="D114" s="305"/>
      <c r="E114" s="305"/>
      <c r="F114" s="305"/>
      <c r="G114" s="305"/>
      <c r="H114" s="305"/>
      <c r="I114" s="305"/>
      <c r="J114" s="305"/>
      <c r="K114" s="305"/>
    </row>
    <row r="115" spans="1:11" x14ac:dyDescent="0.2">
      <c r="A115" s="305"/>
      <c r="B115" s="305"/>
      <c r="C115" s="305"/>
      <c r="D115" s="305"/>
      <c r="E115" s="305"/>
      <c r="F115" s="305"/>
      <c r="G115" s="305"/>
      <c r="H115" s="305"/>
      <c r="I115" s="305"/>
      <c r="J115" s="305"/>
      <c r="K115" s="305"/>
    </row>
    <row r="116" spans="1:11" x14ac:dyDescent="0.2">
      <c r="A116" s="305"/>
      <c r="B116" s="305"/>
      <c r="C116" s="305"/>
      <c r="D116" s="305"/>
      <c r="E116" s="305"/>
      <c r="F116" s="305"/>
      <c r="G116" s="305"/>
      <c r="H116" s="305"/>
      <c r="I116" s="305"/>
      <c r="J116" s="305"/>
      <c r="K116" s="305"/>
    </row>
    <row r="117" spans="1:11" x14ac:dyDescent="0.2">
      <c r="A117" s="305"/>
      <c r="B117" s="305"/>
      <c r="C117" s="305"/>
      <c r="D117" s="305"/>
      <c r="E117" s="305"/>
      <c r="F117" s="305"/>
      <c r="G117" s="305"/>
      <c r="H117" s="305"/>
      <c r="I117" s="305"/>
      <c r="J117" s="305"/>
      <c r="K117" s="305"/>
    </row>
    <row r="118" spans="1:11" x14ac:dyDescent="0.2">
      <c r="A118" s="305"/>
      <c r="B118" s="305"/>
      <c r="C118" s="305"/>
      <c r="D118" s="305"/>
      <c r="E118" s="305"/>
      <c r="F118" s="305"/>
      <c r="G118" s="305"/>
      <c r="H118" s="305"/>
      <c r="I118" s="305"/>
      <c r="J118" s="305"/>
      <c r="K118" s="305"/>
    </row>
    <row r="119" spans="1:11" x14ac:dyDescent="0.2">
      <c r="A119" s="305"/>
      <c r="B119" s="305"/>
      <c r="C119" s="305"/>
      <c r="D119" s="305"/>
      <c r="E119" s="305"/>
      <c r="F119" s="305"/>
      <c r="G119" s="305"/>
      <c r="H119" s="305"/>
      <c r="I119" s="305"/>
      <c r="J119" s="305"/>
      <c r="K119" s="305"/>
    </row>
    <row r="120" spans="1:11" x14ac:dyDescent="0.2">
      <c r="A120" s="305"/>
      <c r="B120" s="305"/>
      <c r="C120" s="305"/>
      <c r="D120" s="305"/>
      <c r="E120" s="305"/>
      <c r="F120" s="305"/>
      <c r="G120" s="305"/>
      <c r="H120" s="305"/>
      <c r="I120" s="305"/>
      <c r="J120" s="305"/>
      <c r="K120" s="305"/>
    </row>
  </sheetData>
  <pageMargins left="0.25" right="0.25" top="0.75" bottom="0.75" header="0.3" footer="0.3"/>
  <pageSetup scale="79" fitToHeight="0" orientation="landscape"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102"/>
  <sheetViews>
    <sheetView zoomScaleNormal="100" workbookViewId="0">
      <selection activeCell="H40" sqref="H40"/>
    </sheetView>
  </sheetViews>
  <sheetFormatPr defaultRowHeight="12.75" x14ac:dyDescent="0.2"/>
  <cols>
    <col min="1" max="1" width="9.140625" style="186"/>
    <col min="2" max="2" width="2.5703125" style="186" customWidth="1"/>
    <col min="3" max="12" width="12.28515625" style="186" customWidth="1"/>
    <col min="13" max="13" width="2.28515625" style="186" customWidth="1"/>
    <col min="14" max="14" width="14.85546875" style="186" bestFit="1" customWidth="1"/>
    <col min="15" max="16384" width="9.140625" style="186"/>
  </cols>
  <sheetData>
    <row r="1" spans="1:16" x14ac:dyDescent="0.2">
      <c r="A1" s="320" t="str">
        <f>"Residential Tonnages by Commodity:  "&amp;TEXT(A7,"mmmm")&amp;" - "&amp;TEXT(A18,"mmmm")</f>
        <v>Residential Tonnages by Commodity:  May - April</v>
      </c>
      <c r="B1" s="319"/>
    </row>
    <row r="2" spans="1:16" ht="13.5" customHeight="1" x14ac:dyDescent="0.2">
      <c r="A2" s="318" t="str">
        <f>'WUTC_KENT_MF 2018'!A1</f>
        <v>Kent-Meridian Disposal</v>
      </c>
      <c r="B2" s="318"/>
    </row>
    <row r="3" spans="1:16" ht="13.5" customHeight="1" x14ac:dyDescent="0.2">
      <c r="A3" s="318"/>
      <c r="B3" s="318"/>
    </row>
    <row r="4" spans="1:16" x14ac:dyDescent="0.2">
      <c r="A4" s="319"/>
      <c r="B4" s="326"/>
      <c r="C4" s="316" t="s">
        <v>21</v>
      </c>
      <c r="D4" s="316" t="s">
        <v>22</v>
      </c>
      <c r="E4" s="316" t="s">
        <v>55</v>
      </c>
      <c r="F4" s="316" t="s">
        <v>23</v>
      </c>
      <c r="G4" s="316" t="s">
        <v>24</v>
      </c>
      <c r="H4" s="316" t="s">
        <v>25</v>
      </c>
      <c r="I4" s="316" t="s">
        <v>26</v>
      </c>
      <c r="J4" s="316" t="s">
        <v>27</v>
      </c>
      <c r="K4" s="316" t="s">
        <v>28</v>
      </c>
      <c r="L4" s="316" t="s">
        <v>29</v>
      </c>
      <c r="M4" s="316"/>
      <c r="N4" s="316" t="s">
        <v>30</v>
      </c>
    </row>
    <row r="5" spans="1:16" s="322" customFormat="1" x14ac:dyDescent="0.2">
      <c r="A5" s="325"/>
      <c r="B5" s="325"/>
      <c r="C5" s="323">
        <v>55</v>
      </c>
      <c r="D5" s="324">
        <v>57</v>
      </c>
      <c r="E5" s="324">
        <v>58</v>
      </c>
      <c r="F5" s="323">
        <v>53</v>
      </c>
      <c r="G5" s="323">
        <v>50</v>
      </c>
      <c r="H5" s="323">
        <v>60</v>
      </c>
      <c r="I5" s="323">
        <v>54</v>
      </c>
      <c r="J5" s="323">
        <v>54</v>
      </c>
      <c r="K5" s="323">
        <v>51</v>
      </c>
      <c r="L5" s="323">
        <v>59</v>
      </c>
    </row>
    <row r="6" spans="1:16" x14ac:dyDescent="0.2">
      <c r="A6" s="313"/>
      <c r="B6" s="305"/>
      <c r="C6" s="306"/>
      <c r="D6" s="306"/>
      <c r="E6" s="306"/>
      <c r="F6" s="306"/>
      <c r="G6" s="306"/>
      <c r="H6" s="306"/>
      <c r="I6" s="306"/>
      <c r="J6" s="306"/>
      <c r="L6" s="305"/>
      <c r="M6" s="305"/>
      <c r="N6" s="306" t="s">
        <v>31</v>
      </c>
    </row>
    <row r="7" spans="1:16" x14ac:dyDescent="0.2">
      <c r="A7" s="313">
        <f>'Multi_Family MF 2018'!C6</f>
        <v>42886</v>
      </c>
      <c r="B7" s="305"/>
      <c r="C7" s="307">
        <f>HLOOKUP($A7,'Multi_Family MF 2018'!$C$6:$N$79,C$5,FALSE)</f>
        <v>2.325E-2</v>
      </c>
      <c r="D7" s="311">
        <f>HLOOKUP($A7,'Multi_Family MF 2018'!$C$6:$N$79,D$5,FALSE)</f>
        <v>0.54808000000000001</v>
      </c>
      <c r="E7" s="311">
        <f>HLOOKUP($A7,'Multi_Family MF 2018'!$C$6:$N$79,E$5,FALSE)</f>
        <v>0</v>
      </c>
      <c r="F7" s="307">
        <f>HLOOKUP($A7,'Multi_Family MF 2018'!$C$6:$N$79,F$5,FALSE)</f>
        <v>5.1150000000000001E-2</v>
      </c>
      <c r="G7" s="307">
        <f>HLOOKUP($A7,'Multi_Family MF 2018'!$C$6:$N$79,G$5,FALSE)</f>
        <v>0.60450000000000004</v>
      </c>
      <c r="H7" s="307">
        <f>HLOOKUP($A7,'Multi_Family MF 2018'!$C$6:$N$79,H$5,FALSE)</f>
        <v>0.99757999999999969</v>
      </c>
      <c r="I7" s="307">
        <f>HLOOKUP($A7,'Multi_Family MF 2018'!$C$6:$N$79,I$5,FALSE)/2</f>
        <v>6.9595000000000004E-2</v>
      </c>
      <c r="J7" s="307">
        <f>HLOOKUP($A7,'Multi_Family MF 2018'!$C$6:$N$79,J$5,FALSE)/2</f>
        <v>6.9595000000000004E-2</v>
      </c>
      <c r="K7" s="307">
        <f>HLOOKUP($A7,'Multi_Family MF 2018'!$C$6:$N$79,K$5,FALSE)</f>
        <v>0.55242000000000002</v>
      </c>
      <c r="L7" s="311">
        <f>HLOOKUP($A7,'Multi_Family MF 2018'!$C$6:$N$79,L$5,FALSE)</f>
        <v>0.18383000000000041</v>
      </c>
      <c r="M7" s="70"/>
      <c r="N7" s="70">
        <f t="shared" ref="N7:N18" si="0">SUM(C7:L7)</f>
        <v>3.1000000000000005</v>
      </c>
      <c r="P7" s="321"/>
    </row>
    <row r="8" spans="1:16" x14ac:dyDescent="0.2">
      <c r="A8" s="313">
        <f t="shared" ref="A8:A18" si="1">EOMONTH(A7,1)</f>
        <v>42916</v>
      </c>
      <c r="B8" s="305"/>
      <c r="C8" s="307">
        <f>HLOOKUP($A8,'Multi_Family MF 2018'!$C$6:$N$79,C$5,FALSE)</f>
        <v>3.7874999999999999E-2</v>
      </c>
      <c r="D8" s="311">
        <f>HLOOKUP($A8,'Multi_Family MF 2018'!$C$6:$N$79,D$5,FALSE)</f>
        <v>0.89284000000000008</v>
      </c>
      <c r="E8" s="311">
        <f>HLOOKUP($A8,'Multi_Family MF 2018'!$C$6:$N$79,E$5,FALSE)</f>
        <v>0</v>
      </c>
      <c r="F8" s="307">
        <f>HLOOKUP($A8,'Multi_Family MF 2018'!$C$6:$N$79,F$5,FALSE)</f>
        <v>8.3324999999999996E-2</v>
      </c>
      <c r="G8" s="307">
        <f>HLOOKUP($A8,'Multi_Family MF 2018'!$C$6:$N$79,G$5,FALSE)</f>
        <v>0.98475000000000001</v>
      </c>
      <c r="H8" s="307">
        <f>HLOOKUP($A8,'Multi_Family MF 2018'!$C$6:$N$79,H$5,FALSE)</f>
        <v>1.6250899999999988</v>
      </c>
      <c r="I8" s="307">
        <f>HLOOKUP($A8,'Multi_Family MF 2018'!$C$6:$N$79,I$5,FALSE)/2</f>
        <v>0.1133725</v>
      </c>
      <c r="J8" s="307">
        <f>HLOOKUP($A8,'Multi_Family MF 2018'!$C$6:$N$79,J$5,FALSE)/2</f>
        <v>0.1133725</v>
      </c>
      <c r="K8" s="307">
        <f>HLOOKUP($A8,'Multi_Family MF 2018'!$C$6:$N$79,K$5,FALSE)</f>
        <v>0.89990999999999999</v>
      </c>
      <c r="L8" s="311">
        <f>HLOOKUP($A8,'Multi_Family MF 2018'!$C$6:$N$79,L$5,FALSE)</f>
        <v>0.29946500000000065</v>
      </c>
      <c r="M8" s="70"/>
      <c r="N8" s="70">
        <f t="shared" si="0"/>
        <v>5.05</v>
      </c>
      <c r="P8" s="321"/>
    </row>
    <row r="9" spans="1:16" x14ac:dyDescent="0.2">
      <c r="A9" s="313">
        <f t="shared" si="1"/>
        <v>42947</v>
      </c>
      <c r="B9" s="305"/>
      <c r="C9" s="307">
        <f>HLOOKUP($A9,'Multi_Family MF 2018'!$C$6:$N$79,C$5,FALSE)</f>
        <v>2.5575000000000001E-2</v>
      </c>
      <c r="D9" s="311">
        <f>HLOOKUP($A9,'Multi_Family MF 2018'!$C$6:$N$79,D$5,FALSE)</f>
        <v>0.60288800000000009</v>
      </c>
      <c r="E9" s="311">
        <f>HLOOKUP($A9,'Multi_Family MF 2018'!$C$6:$N$79,E$5,FALSE)</f>
        <v>0</v>
      </c>
      <c r="F9" s="307">
        <f>HLOOKUP($A9,'Multi_Family MF 2018'!$C$6:$N$79,F$5,FALSE)</f>
        <v>5.6265000000000003E-2</v>
      </c>
      <c r="G9" s="307">
        <f>HLOOKUP($A9,'Multi_Family MF 2018'!$C$6:$N$79,G$5,FALSE)</f>
        <v>0.66495000000000004</v>
      </c>
      <c r="H9" s="307">
        <f>HLOOKUP($A9,'Multi_Family MF 2018'!$C$6:$N$79,H$5,FALSE)</f>
        <v>1.0973379999999997</v>
      </c>
      <c r="I9" s="307">
        <f>HLOOKUP($A9,'Multi_Family MF 2018'!$C$6:$N$79,I$5,FALSE)/2</f>
        <v>7.6554500000000011E-2</v>
      </c>
      <c r="J9" s="307">
        <f>HLOOKUP($A9,'Multi_Family MF 2018'!$C$6:$N$79,J$5,FALSE)/2</f>
        <v>7.6554500000000011E-2</v>
      </c>
      <c r="K9" s="307">
        <f>HLOOKUP($A9,'Multi_Family MF 2018'!$C$6:$N$79,K$5,FALSE)</f>
        <v>0.60766200000000004</v>
      </c>
      <c r="L9" s="311">
        <f>HLOOKUP($A9,'Multi_Family MF 2018'!$C$6:$N$79,L$5,FALSE)</f>
        <v>0.20221300000000045</v>
      </c>
      <c r="M9" s="70"/>
      <c r="N9" s="70">
        <f t="shared" si="0"/>
        <v>3.4099999999999997</v>
      </c>
      <c r="P9" s="321"/>
    </row>
    <row r="10" spans="1:16" x14ac:dyDescent="0.2">
      <c r="A10" s="313">
        <f t="shared" si="1"/>
        <v>42978</v>
      </c>
      <c r="B10" s="305"/>
      <c r="C10" s="307">
        <f>HLOOKUP($A10,'Multi_Family MF 2018'!$C$6:$N$79,C$5,FALSE)</f>
        <v>3.7274999999999996E-2</v>
      </c>
      <c r="D10" s="311">
        <f>HLOOKUP($A10,'Multi_Family MF 2018'!$C$6:$N$79,D$5,FALSE)</f>
        <v>0.87869600000000003</v>
      </c>
      <c r="E10" s="311">
        <f>HLOOKUP($A10,'Multi_Family MF 2018'!$C$6:$N$79,E$5,FALSE)</f>
        <v>0</v>
      </c>
      <c r="F10" s="307">
        <f>HLOOKUP($A10,'Multi_Family MF 2018'!$C$6:$N$79,F$5,FALSE)</f>
        <v>8.2004999999999995E-2</v>
      </c>
      <c r="G10" s="307">
        <f>HLOOKUP($A10,'Multi_Family MF 2018'!$C$6:$N$79,G$5,FALSE)</f>
        <v>0.96914999999999996</v>
      </c>
      <c r="H10" s="307">
        <f>HLOOKUP($A10,'Multi_Family MF 2018'!$C$6:$N$79,H$5,FALSE)</f>
        <v>1.5993459999999993</v>
      </c>
      <c r="I10" s="307">
        <f>HLOOKUP($A10,'Multi_Family MF 2018'!$C$6:$N$79,I$5,FALSE)/2</f>
        <v>0.1115765</v>
      </c>
      <c r="J10" s="307">
        <f>HLOOKUP($A10,'Multi_Family MF 2018'!$C$6:$N$79,J$5,FALSE)/2</f>
        <v>0.1115765</v>
      </c>
      <c r="K10" s="307">
        <f>HLOOKUP($A10,'Multi_Family MF 2018'!$C$6:$N$79,K$5,FALSE)</f>
        <v>0.88565399999999994</v>
      </c>
      <c r="L10" s="311">
        <f>HLOOKUP($A10,'Multi_Family MF 2018'!$C$6:$N$79,L$5,FALSE)</f>
        <v>0.29472100000000062</v>
      </c>
      <c r="M10" s="70"/>
      <c r="N10" s="70">
        <f t="shared" si="0"/>
        <v>4.97</v>
      </c>
      <c r="P10" s="321"/>
    </row>
    <row r="11" spans="1:16" x14ac:dyDescent="0.2">
      <c r="A11" s="313">
        <f t="shared" si="1"/>
        <v>43008</v>
      </c>
      <c r="B11" s="305"/>
      <c r="C11" s="307">
        <f>HLOOKUP($A11,'Multi_Family MF 2018'!$C$6:$N$79,C$5,FALSE)</f>
        <v>2.5349999999999998E-2</v>
      </c>
      <c r="D11" s="311">
        <f>HLOOKUP($A11,'Multi_Family MF 2018'!$C$6:$N$79,D$5,FALSE)</f>
        <v>0.597584</v>
      </c>
      <c r="E11" s="311">
        <f>HLOOKUP($A11,'Multi_Family MF 2018'!$C$6:$N$79,E$5,FALSE)</f>
        <v>0</v>
      </c>
      <c r="F11" s="307">
        <f>HLOOKUP($A11,'Multi_Family MF 2018'!$C$6:$N$79,F$5,FALSE)</f>
        <v>5.577E-2</v>
      </c>
      <c r="G11" s="307">
        <f>HLOOKUP($A11,'Multi_Family MF 2018'!$C$6:$N$79,G$5,FALSE)</f>
        <v>0.65910000000000002</v>
      </c>
      <c r="H11" s="307">
        <f>HLOOKUP($A11,'Multi_Family MF 2018'!$C$6:$N$79,H$5,FALSE)</f>
        <v>1.0876839999999994</v>
      </c>
      <c r="I11" s="307">
        <f>HLOOKUP($A11,'Multi_Family MF 2018'!$C$6:$N$79,I$5,FALSE)/2</f>
        <v>7.5881000000000004E-2</v>
      </c>
      <c r="J11" s="307">
        <f>HLOOKUP($A11,'Multi_Family MF 2018'!$C$6:$N$79,J$5,FALSE)/2</f>
        <v>7.5881000000000004E-2</v>
      </c>
      <c r="K11" s="307">
        <f>HLOOKUP($A11,'Multi_Family MF 2018'!$C$6:$N$79,K$5,FALSE)</f>
        <v>0.60231599999999996</v>
      </c>
      <c r="L11" s="311">
        <f>HLOOKUP($A11,'Multi_Family MF 2018'!$C$6:$N$79,L$5,FALSE)</f>
        <v>0.20043400000000045</v>
      </c>
      <c r="M11" s="70"/>
      <c r="N11" s="70">
        <f t="shared" si="0"/>
        <v>3.38</v>
      </c>
      <c r="P11" s="321"/>
    </row>
    <row r="12" spans="1:16" x14ac:dyDescent="0.2">
      <c r="A12" s="313">
        <f t="shared" si="1"/>
        <v>43039</v>
      </c>
      <c r="B12" s="305"/>
      <c r="C12" s="307">
        <f>HLOOKUP($A12,'Multi_Family MF 2018'!$C$6:$N$79,C$5,FALSE)</f>
        <v>2.6324999999999998E-2</v>
      </c>
      <c r="D12" s="311">
        <f>HLOOKUP($A12,'Multi_Family MF 2018'!$C$6:$N$79,D$5,FALSE)</f>
        <v>0.62056800000000001</v>
      </c>
      <c r="E12" s="311">
        <f>HLOOKUP($A12,'Multi_Family MF 2018'!$C$6:$N$79,E$5,FALSE)</f>
        <v>0</v>
      </c>
      <c r="F12" s="307">
        <f>HLOOKUP($A12,'Multi_Family MF 2018'!$C$6:$N$79,F$5,FALSE)</f>
        <v>5.7915000000000001E-2</v>
      </c>
      <c r="G12" s="307">
        <f>HLOOKUP($A12,'Multi_Family MF 2018'!$C$6:$N$79,G$5,FALSE)</f>
        <v>0.68445</v>
      </c>
      <c r="H12" s="307">
        <f>HLOOKUP($A12,'Multi_Family MF 2018'!$C$6:$N$79,H$5,FALSE)</f>
        <v>1.1295179999999991</v>
      </c>
      <c r="I12" s="307">
        <f>HLOOKUP($A12,'Multi_Family MF 2018'!$C$6:$N$79,I$5,FALSE)/2</f>
        <v>7.8799499999999995E-2</v>
      </c>
      <c r="J12" s="307">
        <f>HLOOKUP($A12,'Multi_Family MF 2018'!$C$6:$N$79,J$5,FALSE)/2</f>
        <v>7.8799499999999995E-2</v>
      </c>
      <c r="K12" s="307">
        <f>HLOOKUP($A12,'Multi_Family MF 2018'!$C$6:$N$79,K$5,FALSE)</f>
        <v>0.62548199999999998</v>
      </c>
      <c r="L12" s="311">
        <f>HLOOKUP($A12,'Multi_Family MF 2018'!$C$6:$N$79,L$5,FALSE)</f>
        <v>0.20814300000000044</v>
      </c>
      <c r="M12" s="70"/>
      <c r="N12" s="70">
        <f t="shared" si="0"/>
        <v>3.51</v>
      </c>
      <c r="P12" s="321"/>
    </row>
    <row r="13" spans="1:16" x14ac:dyDescent="0.2">
      <c r="A13" s="313">
        <f t="shared" si="1"/>
        <v>43069</v>
      </c>
      <c r="B13" s="305"/>
      <c r="C13" s="307">
        <f>HLOOKUP($A13,'Multi_Family MF 2018'!$C$6:$N$79,C$5,FALSE)</f>
        <v>2.5049999999999999E-2</v>
      </c>
      <c r="D13" s="311">
        <f>HLOOKUP($A13,'Multi_Family MF 2018'!$C$6:$N$79,D$5,FALSE)</f>
        <v>0.59051200000000004</v>
      </c>
      <c r="E13" s="311">
        <f>HLOOKUP($A13,'Multi_Family MF 2018'!$C$6:$N$79,E$5,FALSE)</f>
        <v>0</v>
      </c>
      <c r="F13" s="307">
        <f>HLOOKUP($A13,'Multi_Family MF 2018'!$C$6:$N$79,F$5,FALSE)</f>
        <v>5.5109999999999999E-2</v>
      </c>
      <c r="G13" s="307">
        <f>HLOOKUP($A13,'Multi_Family MF 2018'!$C$6:$N$79,G$5,FALSE)</f>
        <v>0.65129999999999999</v>
      </c>
      <c r="H13" s="307">
        <f>HLOOKUP($A13,'Multi_Family MF 2018'!$C$6:$N$79,H$5,FALSE)</f>
        <v>1.0748119999999992</v>
      </c>
      <c r="I13" s="307">
        <f>HLOOKUP($A13,'Multi_Family MF 2018'!$C$6:$N$79,I$5,FALSE)/2</f>
        <v>7.4982999999999994E-2</v>
      </c>
      <c r="J13" s="307">
        <f>HLOOKUP($A13,'Multi_Family MF 2018'!$C$6:$N$79,J$5,FALSE)/2</f>
        <v>7.4982999999999994E-2</v>
      </c>
      <c r="K13" s="307">
        <f>HLOOKUP($A13,'Multi_Family MF 2018'!$C$6:$N$79,K$5,FALSE)</f>
        <v>0.59518799999999994</v>
      </c>
      <c r="L13" s="311">
        <f>HLOOKUP($A13,'Multi_Family MF 2018'!$C$6:$N$79,L$5,FALSE)</f>
        <v>0.19806200000000043</v>
      </c>
      <c r="M13" s="70"/>
      <c r="N13" s="70">
        <f t="shared" si="0"/>
        <v>3.34</v>
      </c>
      <c r="P13" s="321"/>
    </row>
    <row r="14" spans="1:16" x14ac:dyDescent="0.2">
      <c r="A14" s="313">
        <f t="shared" si="1"/>
        <v>43100</v>
      </c>
      <c r="B14" s="305"/>
      <c r="C14" s="307">
        <f>HLOOKUP($A14,'Multi_Family MF 2018'!$C$6:$N$79,C$5,FALSE)</f>
        <v>2.4074999999999999E-2</v>
      </c>
      <c r="D14" s="311">
        <f>HLOOKUP($A14,'Multi_Family MF 2018'!$C$6:$N$79,D$5,FALSE)</f>
        <v>0.56752800000000003</v>
      </c>
      <c r="E14" s="311">
        <f>HLOOKUP($A14,'Multi_Family MF 2018'!$C$6:$N$79,E$5,FALSE)</f>
        <v>0</v>
      </c>
      <c r="F14" s="307">
        <f>HLOOKUP($A14,'Multi_Family MF 2018'!$C$6:$N$79,F$5,FALSE)</f>
        <v>5.2965000000000005E-2</v>
      </c>
      <c r="G14" s="307">
        <f>HLOOKUP($A14,'Multi_Family MF 2018'!$C$6:$N$79,G$5,FALSE)</f>
        <v>0.62595000000000001</v>
      </c>
      <c r="H14" s="307">
        <f>HLOOKUP($A14,'Multi_Family MF 2018'!$C$6:$N$79,H$5,FALSE)</f>
        <v>1.0329779999999995</v>
      </c>
      <c r="I14" s="307">
        <f>HLOOKUP($A14,'Multi_Family MF 2018'!$C$6:$N$79,I$5,FALSE)/2</f>
        <v>7.2064500000000004E-2</v>
      </c>
      <c r="J14" s="307">
        <f>HLOOKUP($A14,'Multi_Family MF 2018'!$C$6:$N$79,J$5,FALSE)/2</f>
        <v>7.2064500000000004E-2</v>
      </c>
      <c r="K14" s="307">
        <f>HLOOKUP($A14,'Multi_Family MF 2018'!$C$6:$N$79,K$5,FALSE)</f>
        <v>0.57202200000000003</v>
      </c>
      <c r="L14" s="311">
        <f>HLOOKUP($A14,'Multi_Family MF 2018'!$C$6:$N$79,L$5,FALSE)</f>
        <v>0.19035300000000041</v>
      </c>
      <c r="M14" s="70"/>
      <c r="N14" s="70">
        <f t="shared" si="0"/>
        <v>3.2100000000000004</v>
      </c>
      <c r="P14" s="321"/>
    </row>
    <row r="15" spans="1:16" x14ac:dyDescent="0.2">
      <c r="A15" s="313">
        <f t="shared" si="1"/>
        <v>43131</v>
      </c>
      <c r="B15" s="305"/>
      <c r="C15" s="307">
        <f>HLOOKUP($A15,'Multi_Family MF 2018'!$C$6:$N$79,C$5,FALSE)</f>
        <v>3.2474999999999997E-2</v>
      </c>
      <c r="D15" s="311">
        <f>HLOOKUP($A15,'Multi_Family MF 2018'!$C$6:$N$79,D$5,FALSE)</f>
        <v>0.76554400000000011</v>
      </c>
      <c r="E15" s="311">
        <f>HLOOKUP($A15,'Multi_Family MF 2018'!$C$6:$N$79,E$5,FALSE)</f>
        <v>0</v>
      </c>
      <c r="F15" s="307">
        <f>HLOOKUP($A15,'Multi_Family MF 2018'!$C$6:$N$79,F$5,FALSE)</f>
        <v>7.1445000000000008E-2</v>
      </c>
      <c r="G15" s="307">
        <f>HLOOKUP($A15,'Multi_Family MF 2018'!$C$6:$N$79,G$5,FALSE)</f>
        <v>0.84435000000000004</v>
      </c>
      <c r="H15" s="307">
        <f>HLOOKUP($A15,'Multi_Family MF 2018'!$C$6:$N$79,H$5,FALSE)</f>
        <v>1.3933939999999989</v>
      </c>
      <c r="I15" s="307">
        <f>HLOOKUP($A15,'Multi_Family MF 2018'!$C$6:$N$79,I$5,FALSE)/2</f>
        <v>9.7208500000000003E-2</v>
      </c>
      <c r="J15" s="307">
        <f>HLOOKUP($A15,'Multi_Family MF 2018'!$C$6:$N$79,J$5,FALSE)/2</f>
        <v>9.7208500000000003E-2</v>
      </c>
      <c r="K15" s="307">
        <f>HLOOKUP($A15,'Multi_Family MF 2018'!$C$6:$N$79,K$5,FALSE)</f>
        <v>0.77160600000000001</v>
      </c>
      <c r="L15" s="311">
        <f>HLOOKUP($A15,'Multi_Family MF 2018'!$C$6:$N$79,L$5,FALSE)</f>
        <v>0.25676900000000058</v>
      </c>
      <c r="M15" s="70"/>
      <c r="N15" s="70">
        <f t="shared" si="0"/>
        <v>4.3299999999999992</v>
      </c>
      <c r="P15" s="321"/>
    </row>
    <row r="16" spans="1:16" x14ac:dyDescent="0.2">
      <c r="A16" s="313">
        <f t="shared" si="1"/>
        <v>43159</v>
      </c>
      <c r="B16" s="305"/>
      <c r="C16" s="307">
        <f>HLOOKUP($A16,'Multi_Family MF 2018'!$C$6:$N$79,C$5,FALSE)</f>
        <v>2.3625E-2</v>
      </c>
      <c r="D16" s="311">
        <f>HLOOKUP($A16,'Multi_Family MF 2018'!$C$6:$N$79,D$5,FALSE)</f>
        <v>0.55691999999999997</v>
      </c>
      <c r="E16" s="311">
        <f>HLOOKUP($A16,'Multi_Family MF 2018'!$C$6:$N$79,E$5,FALSE)</f>
        <v>0</v>
      </c>
      <c r="F16" s="307">
        <f>HLOOKUP($A16,'Multi_Family MF 2018'!$C$6:$N$79,F$5,FALSE)</f>
        <v>5.1975E-2</v>
      </c>
      <c r="G16" s="307">
        <f>HLOOKUP($A16,'Multi_Family MF 2018'!$C$6:$N$79,G$5,FALSE)</f>
        <v>0.61424999999999996</v>
      </c>
      <c r="H16" s="307">
        <f>HLOOKUP($A16,'Multi_Family MF 2018'!$C$6:$N$79,H$5,FALSE)</f>
        <v>1.0136699999999994</v>
      </c>
      <c r="I16" s="307">
        <f>HLOOKUP($A16,'Multi_Family MF 2018'!$C$6:$N$79,I$5,FALSE)/2</f>
        <v>7.0717500000000003E-2</v>
      </c>
      <c r="J16" s="307">
        <f>HLOOKUP($A16,'Multi_Family MF 2018'!$C$6:$N$79,J$5,FALSE)/2</f>
        <v>7.0717500000000003E-2</v>
      </c>
      <c r="K16" s="307">
        <f>HLOOKUP($A16,'Multi_Family MF 2018'!$C$6:$N$79,K$5,FALSE)</f>
        <v>0.56133</v>
      </c>
      <c r="L16" s="311">
        <f>HLOOKUP($A16,'Multi_Family MF 2018'!$C$6:$N$79,L$5,FALSE)</f>
        <v>0.18679500000000041</v>
      </c>
      <c r="M16" s="70"/>
      <c r="N16" s="70">
        <f t="shared" si="0"/>
        <v>3.15</v>
      </c>
      <c r="P16" s="321"/>
    </row>
    <row r="17" spans="1:16" x14ac:dyDescent="0.2">
      <c r="A17" s="313">
        <f t="shared" si="1"/>
        <v>43190</v>
      </c>
      <c r="B17" s="305"/>
      <c r="C17" s="307">
        <f>HLOOKUP($A17,'Multi_Family MF 2018'!$C$6:$N$79,C$5,FALSE)</f>
        <v>5.2049999999999999E-2</v>
      </c>
      <c r="D17" s="311">
        <f>HLOOKUP($A17,'Multi_Family MF 2018'!$C$6:$N$79,D$5,FALSE)</f>
        <v>1.2269920000000001</v>
      </c>
      <c r="E17" s="311">
        <f>HLOOKUP($A17,'Multi_Family MF 2018'!$C$6:$N$79,E$5,FALSE)</f>
        <v>0</v>
      </c>
      <c r="F17" s="307">
        <f>HLOOKUP($A17,'Multi_Family MF 2018'!$C$6:$N$79,F$5,FALSE)</f>
        <v>0.11451000000000001</v>
      </c>
      <c r="G17" s="307">
        <f>HLOOKUP($A17,'Multi_Family MF 2018'!$C$6:$N$79,G$5,FALSE)</f>
        <v>1.3533000000000002</v>
      </c>
      <c r="H17" s="307">
        <f>HLOOKUP($A17,'Multi_Family MF 2018'!$C$6:$N$79,H$5,FALSE)</f>
        <v>2.2332919999999996</v>
      </c>
      <c r="I17" s="307">
        <f>HLOOKUP($A17,'Multi_Family MF 2018'!$C$6:$N$79,I$5,FALSE)/2</f>
        <v>0.15580300000000002</v>
      </c>
      <c r="J17" s="307">
        <f>HLOOKUP($A17,'Multi_Family MF 2018'!$C$6:$N$79,J$5,FALSE)/2</f>
        <v>0.15580300000000002</v>
      </c>
      <c r="K17" s="307">
        <f>HLOOKUP($A17,'Multi_Family MF 2018'!$C$6:$N$79,K$5,FALSE)</f>
        <v>1.2367080000000001</v>
      </c>
      <c r="L17" s="311">
        <f>HLOOKUP($A17,'Multi_Family MF 2018'!$C$6:$N$79,L$5,FALSE)</f>
        <v>0.41154200000000091</v>
      </c>
      <c r="M17" s="70"/>
      <c r="N17" s="70">
        <f t="shared" si="0"/>
        <v>6.94</v>
      </c>
      <c r="P17" s="321"/>
    </row>
    <row r="18" spans="1:16" x14ac:dyDescent="0.2">
      <c r="A18" s="313">
        <f t="shared" si="1"/>
        <v>43220</v>
      </c>
      <c r="B18" s="305"/>
      <c r="C18" s="307">
        <f>HLOOKUP($A18,'Multi_Family MF 2018'!$C$6:$N$79,C$5,FALSE)</f>
        <v>7.5600000000000001E-2</v>
      </c>
      <c r="D18" s="311">
        <f>HLOOKUP($A18,'Multi_Family MF 2018'!$C$6:$N$79,D$5,FALSE)</f>
        <v>1.7821440000000002</v>
      </c>
      <c r="E18" s="311">
        <f>HLOOKUP($A18,'Multi_Family MF 2018'!$C$6:$N$79,E$5,FALSE)</f>
        <v>0</v>
      </c>
      <c r="F18" s="307">
        <f>HLOOKUP($A18,'Multi_Family MF 2018'!$C$6:$N$79,F$5,FALSE)</f>
        <v>0.16632</v>
      </c>
      <c r="G18" s="307">
        <f>HLOOKUP($A18,'Multi_Family MF 2018'!$C$6:$N$79,G$5,FALSE)</f>
        <v>0</v>
      </c>
      <c r="H18" s="307">
        <f>HLOOKUP($A18,'Multi_Family MF 2018'!$C$6:$N$79,H$5,FALSE)</f>
        <v>5.2093439999999989</v>
      </c>
      <c r="I18" s="307">
        <f>HLOOKUP($A18,'Multi_Family MF 2018'!$C$6:$N$79,I$5,FALSE)/2</f>
        <v>0.22629600000000002</v>
      </c>
      <c r="J18" s="307">
        <f>HLOOKUP($A18,'Multi_Family MF 2018'!$C$6:$N$79,J$5,FALSE)/2</f>
        <v>0.22629600000000002</v>
      </c>
      <c r="K18" s="307">
        <f>HLOOKUP($A18,'Multi_Family MF 2018'!$C$6:$N$79,K$5,FALSE)</f>
        <v>1.7962560000000001</v>
      </c>
      <c r="L18" s="311">
        <f>HLOOKUP($A18,'Multi_Family MF 2018'!$C$6:$N$79,L$5,FALSE)</f>
        <v>0.59774400000000127</v>
      </c>
      <c r="M18" s="70"/>
      <c r="N18" s="70">
        <f t="shared" si="0"/>
        <v>10.079999999999998</v>
      </c>
      <c r="P18" s="321"/>
    </row>
    <row r="19" spans="1:16" ht="13.5" customHeight="1" x14ac:dyDescent="0.2">
      <c r="A19" s="313"/>
      <c r="B19" s="305"/>
      <c r="C19" s="70"/>
      <c r="D19" s="70"/>
      <c r="E19" s="70"/>
      <c r="F19" s="70"/>
      <c r="G19" s="70"/>
      <c r="H19" s="70"/>
      <c r="I19" s="70"/>
      <c r="J19" s="70"/>
      <c r="K19" s="70"/>
      <c r="L19" s="70"/>
      <c r="M19" s="70"/>
      <c r="N19" s="70"/>
      <c r="O19" s="186" t="s">
        <v>32</v>
      </c>
    </row>
    <row r="20" spans="1:16" x14ac:dyDescent="0.2">
      <c r="A20" s="310" t="s">
        <v>33</v>
      </c>
      <c r="B20" s="305"/>
      <c r="C20" s="77">
        <f t="shared" ref="C20:L20" si="2">SUM(C7:C19)</f>
        <v>0.40852499999999992</v>
      </c>
      <c r="D20" s="77">
        <f t="shared" si="2"/>
        <v>9.6302960000000013</v>
      </c>
      <c r="E20" s="77">
        <f t="shared" si="2"/>
        <v>0</v>
      </c>
      <c r="F20" s="77">
        <f t="shared" si="2"/>
        <v>0.89875499999999997</v>
      </c>
      <c r="G20" s="77">
        <f t="shared" si="2"/>
        <v>8.6560500000000022</v>
      </c>
      <c r="H20" s="77">
        <f t="shared" si="2"/>
        <v>19.49404599999999</v>
      </c>
      <c r="I20" s="77">
        <f t="shared" si="2"/>
        <v>1.2228515</v>
      </c>
      <c r="J20" s="77">
        <f t="shared" si="2"/>
        <v>1.2228515</v>
      </c>
      <c r="K20" s="77">
        <f t="shared" si="2"/>
        <v>9.7065540000000006</v>
      </c>
      <c r="L20" s="77">
        <f t="shared" si="2"/>
        <v>3.2300710000000068</v>
      </c>
      <c r="M20" s="70"/>
      <c r="N20" s="77">
        <f>SUM(N7:N18)</f>
        <v>54.47</v>
      </c>
      <c r="O20" s="306">
        <f>N20/15</f>
        <v>3.6313333333333331</v>
      </c>
    </row>
    <row r="21" spans="1:16" x14ac:dyDescent="0.2">
      <c r="A21" s="313"/>
      <c r="B21" s="305"/>
      <c r="C21" s="305"/>
      <c r="D21" s="305"/>
      <c r="E21" s="305"/>
      <c r="F21" s="305"/>
      <c r="G21" s="305"/>
      <c r="H21" s="305"/>
      <c r="I21" s="305"/>
      <c r="J21" s="305"/>
      <c r="K21" s="305"/>
      <c r="L21" s="305"/>
      <c r="M21" s="305"/>
      <c r="N21" s="306" t="str">
        <f>IF(N20&lt;&gt;SUM('Multi_Family MF 2018'!$C$66:$N$66),"ERROR","")</f>
        <v/>
      </c>
    </row>
    <row r="22" spans="1:16" x14ac:dyDescent="0.2">
      <c r="A22" s="305"/>
      <c r="B22" s="305"/>
      <c r="C22" s="305"/>
      <c r="D22" s="305"/>
      <c r="E22" s="305"/>
      <c r="F22" s="305"/>
      <c r="G22" s="305"/>
      <c r="H22" s="305"/>
      <c r="I22" s="305"/>
      <c r="J22" s="305"/>
      <c r="K22" s="305"/>
      <c r="L22" s="305"/>
      <c r="M22" s="306"/>
    </row>
    <row r="23" spans="1:16" x14ac:dyDescent="0.2">
      <c r="A23" s="305"/>
      <c r="B23" s="305"/>
      <c r="C23" s="305"/>
      <c r="D23" s="305"/>
      <c r="E23" s="305"/>
      <c r="F23" s="305"/>
      <c r="G23" s="305"/>
      <c r="H23" s="305"/>
      <c r="I23" s="305"/>
      <c r="J23" s="305"/>
      <c r="K23" s="305"/>
      <c r="L23" s="305"/>
      <c r="M23" s="306"/>
    </row>
    <row r="24" spans="1:16" x14ac:dyDescent="0.2">
      <c r="A24" s="305"/>
      <c r="B24" s="305"/>
      <c r="C24" s="305"/>
      <c r="D24" s="305"/>
      <c r="E24" s="305"/>
      <c r="F24" s="305"/>
      <c r="G24" s="305"/>
      <c r="H24" s="305"/>
      <c r="I24" s="305"/>
      <c r="J24" s="305"/>
      <c r="K24" s="305"/>
      <c r="L24" s="305"/>
      <c r="M24" s="306"/>
    </row>
    <row r="25" spans="1:16" x14ac:dyDescent="0.2">
      <c r="A25" s="305"/>
      <c r="B25" s="305"/>
      <c r="C25" s="305"/>
      <c r="D25" s="305"/>
      <c r="E25" s="305"/>
      <c r="F25" s="305"/>
      <c r="G25" s="305"/>
      <c r="H25" s="305"/>
      <c r="I25" s="305"/>
      <c r="J25" s="305"/>
      <c r="K25" s="305"/>
      <c r="L25" s="305"/>
      <c r="M25" s="305"/>
    </row>
    <row r="26" spans="1:16" x14ac:dyDescent="0.2">
      <c r="A26" s="305"/>
      <c r="B26" s="305"/>
      <c r="C26" s="305"/>
      <c r="D26" s="305"/>
      <c r="E26" s="305"/>
      <c r="F26" s="305"/>
      <c r="G26" s="305"/>
      <c r="H26" s="305"/>
      <c r="I26" s="305"/>
      <c r="J26" s="305"/>
      <c r="K26" s="305"/>
      <c r="L26" s="305"/>
      <c r="M26" s="305"/>
    </row>
    <row r="27" spans="1:16" x14ac:dyDescent="0.2">
      <c r="A27" s="305"/>
      <c r="B27" s="305"/>
      <c r="C27" s="305"/>
      <c r="D27" s="305"/>
      <c r="E27" s="305"/>
      <c r="F27" s="305"/>
      <c r="G27" s="305"/>
      <c r="H27" s="305"/>
      <c r="I27" s="305"/>
      <c r="J27" s="305"/>
      <c r="K27" s="305"/>
      <c r="L27" s="305"/>
      <c r="M27" s="305"/>
    </row>
    <row r="28" spans="1:16" x14ac:dyDescent="0.2">
      <c r="A28" s="305"/>
      <c r="B28" s="305"/>
      <c r="C28" s="305"/>
      <c r="D28" s="305"/>
      <c r="E28" s="305"/>
      <c r="F28" s="305"/>
      <c r="G28" s="305"/>
      <c r="H28" s="305"/>
      <c r="I28" s="305"/>
      <c r="J28" s="305"/>
      <c r="K28" s="305"/>
      <c r="L28" s="305"/>
      <c r="M28" s="305"/>
    </row>
    <row r="29" spans="1:16" x14ac:dyDescent="0.2">
      <c r="A29" s="305"/>
      <c r="B29" s="305"/>
      <c r="C29" s="305"/>
      <c r="D29" s="305"/>
      <c r="E29" s="305"/>
      <c r="F29" s="305"/>
      <c r="G29" s="305"/>
      <c r="H29" s="305"/>
      <c r="I29" s="305"/>
      <c r="J29" s="305"/>
      <c r="K29" s="305"/>
      <c r="L29" s="305"/>
      <c r="M29" s="305"/>
    </row>
    <row r="30" spans="1:16" x14ac:dyDescent="0.2">
      <c r="A30" s="305"/>
      <c r="B30" s="305"/>
      <c r="C30" s="305"/>
      <c r="D30" s="305"/>
      <c r="E30" s="305"/>
      <c r="F30" s="305"/>
      <c r="G30" s="305"/>
      <c r="H30" s="305"/>
      <c r="I30" s="305"/>
      <c r="J30" s="305"/>
      <c r="K30" s="305"/>
      <c r="L30" s="305"/>
      <c r="M30" s="305"/>
    </row>
    <row r="31" spans="1:16" x14ac:dyDescent="0.2">
      <c r="A31" s="305"/>
      <c r="B31" s="305"/>
      <c r="C31" s="305"/>
      <c r="D31" s="305"/>
      <c r="E31" s="305"/>
      <c r="F31" s="305"/>
      <c r="G31" s="305"/>
      <c r="H31" s="305"/>
      <c r="I31" s="305"/>
      <c r="J31" s="305"/>
      <c r="K31" s="305"/>
      <c r="L31" s="305"/>
      <c r="M31" s="305"/>
    </row>
    <row r="32" spans="1:16" x14ac:dyDescent="0.2">
      <c r="A32" s="305"/>
      <c r="B32" s="305"/>
      <c r="C32" s="305"/>
      <c r="D32" s="305"/>
      <c r="E32" s="305"/>
      <c r="F32" s="305"/>
      <c r="G32" s="305"/>
      <c r="H32" s="305"/>
      <c r="I32" s="305"/>
      <c r="J32" s="305"/>
      <c r="K32" s="305"/>
      <c r="L32" s="305"/>
      <c r="M32" s="305"/>
    </row>
    <row r="33" spans="1:13" x14ac:dyDescent="0.2">
      <c r="A33" s="305"/>
      <c r="B33" s="305"/>
      <c r="C33" s="305"/>
      <c r="D33" s="305"/>
      <c r="E33" s="305"/>
      <c r="F33" s="305"/>
      <c r="G33" s="305"/>
      <c r="H33" s="305"/>
      <c r="I33" s="305"/>
      <c r="J33" s="305"/>
      <c r="K33" s="305"/>
      <c r="L33" s="305"/>
      <c r="M33" s="305"/>
    </row>
    <row r="34" spans="1:13" x14ac:dyDescent="0.2">
      <c r="A34" s="305"/>
      <c r="B34" s="305"/>
      <c r="C34" s="305"/>
      <c r="D34" s="305"/>
      <c r="E34" s="305"/>
      <c r="F34" s="305"/>
      <c r="G34" s="305"/>
      <c r="H34" s="305"/>
      <c r="I34" s="305"/>
      <c r="J34" s="305"/>
      <c r="K34" s="305"/>
      <c r="L34" s="305"/>
      <c r="M34" s="305"/>
    </row>
    <row r="35" spans="1:13" x14ac:dyDescent="0.2">
      <c r="A35" s="305"/>
      <c r="B35" s="305"/>
      <c r="C35" s="305"/>
      <c r="D35" s="305"/>
      <c r="E35" s="305"/>
      <c r="F35" s="305"/>
      <c r="G35" s="305"/>
      <c r="H35" s="305"/>
      <c r="I35" s="305"/>
      <c r="J35" s="305"/>
      <c r="K35" s="305"/>
      <c r="L35" s="305"/>
      <c r="M35" s="305"/>
    </row>
    <row r="36" spans="1:13" x14ac:dyDescent="0.2">
      <c r="A36" s="305"/>
      <c r="B36" s="305"/>
      <c r="C36" s="305"/>
      <c r="D36" s="305"/>
      <c r="E36" s="305"/>
      <c r="F36" s="305"/>
      <c r="G36" s="305"/>
      <c r="H36" s="305"/>
      <c r="I36" s="305"/>
      <c r="J36" s="305"/>
      <c r="K36" s="305"/>
      <c r="L36" s="305"/>
      <c r="M36" s="305"/>
    </row>
    <row r="37" spans="1:13" x14ac:dyDescent="0.2">
      <c r="A37" s="305"/>
      <c r="B37" s="305"/>
      <c r="C37" s="305"/>
      <c r="D37" s="305"/>
      <c r="E37" s="305"/>
      <c r="F37" s="305"/>
      <c r="G37" s="305"/>
      <c r="H37" s="305"/>
      <c r="I37" s="305"/>
      <c r="J37" s="305"/>
      <c r="K37" s="305"/>
      <c r="L37" s="305"/>
      <c r="M37" s="305"/>
    </row>
    <row r="38" spans="1:13" x14ac:dyDescent="0.2">
      <c r="A38" s="305"/>
      <c r="B38" s="305"/>
      <c r="C38" s="305"/>
      <c r="D38" s="305"/>
      <c r="E38" s="305"/>
      <c r="F38" s="305"/>
      <c r="G38" s="305"/>
      <c r="H38" s="305"/>
      <c r="I38" s="305"/>
      <c r="J38" s="305"/>
      <c r="K38" s="305"/>
      <c r="L38" s="305"/>
      <c r="M38" s="305"/>
    </row>
    <row r="39" spans="1:13" x14ac:dyDescent="0.2">
      <c r="A39" s="305"/>
      <c r="B39" s="305"/>
      <c r="C39" s="305"/>
      <c r="D39" s="305"/>
      <c r="E39" s="305"/>
      <c r="F39" s="305"/>
      <c r="G39" s="305"/>
      <c r="H39" s="305"/>
      <c r="I39" s="305"/>
      <c r="J39" s="305"/>
      <c r="K39" s="305"/>
      <c r="L39" s="305"/>
      <c r="M39" s="305"/>
    </row>
    <row r="40" spans="1:13" x14ac:dyDescent="0.2">
      <c r="A40" s="305"/>
      <c r="B40" s="305"/>
      <c r="C40" s="305"/>
      <c r="D40" s="305"/>
      <c r="E40" s="305"/>
      <c r="F40" s="305"/>
      <c r="G40" s="305"/>
      <c r="H40" s="305"/>
      <c r="I40" s="305"/>
      <c r="J40" s="305"/>
      <c r="K40" s="305"/>
      <c r="L40" s="305"/>
      <c r="M40" s="305"/>
    </row>
    <row r="41" spans="1:13" x14ac:dyDescent="0.2">
      <c r="A41" s="305"/>
      <c r="B41" s="305"/>
      <c r="C41" s="305"/>
      <c r="D41" s="305"/>
      <c r="E41" s="305"/>
      <c r="F41" s="305"/>
      <c r="G41" s="305"/>
      <c r="H41" s="305"/>
      <c r="I41" s="305"/>
      <c r="J41" s="305"/>
      <c r="K41" s="305"/>
      <c r="L41" s="305"/>
      <c r="M41" s="305"/>
    </row>
    <row r="42" spans="1:13" x14ac:dyDescent="0.2">
      <c r="A42" s="305"/>
      <c r="B42" s="305"/>
      <c r="C42" s="305"/>
      <c r="D42" s="305"/>
      <c r="E42" s="305"/>
      <c r="F42" s="305"/>
      <c r="G42" s="305"/>
      <c r="H42" s="305"/>
      <c r="I42" s="305"/>
      <c r="J42" s="305"/>
      <c r="K42" s="305"/>
      <c r="L42" s="305"/>
      <c r="M42" s="305"/>
    </row>
    <row r="43" spans="1:13" x14ac:dyDescent="0.2">
      <c r="A43" s="305"/>
      <c r="B43" s="305"/>
      <c r="C43" s="305"/>
      <c r="D43" s="305"/>
      <c r="E43" s="305"/>
      <c r="F43" s="305"/>
      <c r="G43" s="305"/>
      <c r="H43" s="305"/>
      <c r="I43" s="305"/>
      <c r="J43" s="305"/>
      <c r="K43" s="305"/>
      <c r="L43" s="305"/>
      <c r="M43" s="305"/>
    </row>
    <row r="44" spans="1:13" x14ac:dyDescent="0.2">
      <c r="A44" s="305"/>
      <c r="B44" s="305"/>
      <c r="C44" s="305"/>
      <c r="D44" s="305"/>
      <c r="E44" s="305"/>
      <c r="F44" s="305"/>
      <c r="G44" s="305"/>
      <c r="H44" s="305"/>
      <c r="I44" s="305"/>
      <c r="J44" s="305"/>
      <c r="K44" s="305"/>
      <c r="L44" s="305"/>
      <c r="M44" s="305"/>
    </row>
    <row r="45" spans="1:13" x14ac:dyDescent="0.2">
      <c r="A45" s="305"/>
      <c r="B45" s="305"/>
      <c r="C45" s="305"/>
      <c r="D45" s="305"/>
      <c r="E45" s="305"/>
      <c r="F45" s="305"/>
      <c r="G45" s="305"/>
      <c r="H45" s="305"/>
      <c r="I45" s="305"/>
      <c r="J45" s="305"/>
      <c r="K45" s="305"/>
      <c r="L45" s="305"/>
      <c r="M45" s="305"/>
    </row>
    <row r="46" spans="1:13" x14ac:dyDescent="0.2">
      <c r="A46" s="305"/>
      <c r="B46" s="305"/>
      <c r="C46" s="305"/>
      <c r="D46" s="305"/>
      <c r="E46" s="305"/>
      <c r="F46" s="305"/>
      <c r="G46" s="305"/>
      <c r="H46" s="305"/>
      <c r="I46" s="305"/>
      <c r="J46" s="305"/>
      <c r="K46" s="305"/>
      <c r="L46" s="305"/>
      <c r="M46" s="305"/>
    </row>
    <row r="47" spans="1:13" x14ac:dyDescent="0.2">
      <c r="A47" s="305"/>
      <c r="B47" s="305"/>
      <c r="C47" s="305"/>
      <c r="D47" s="305"/>
      <c r="E47" s="305"/>
      <c r="F47" s="305"/>
      <c r="G47" s="305"/>
      <c r="H47" s="305"/>
      <c r="I47" s="305"/>
      <c r="J47" s="305"/>
      <c r="K47" s="305"/>
      <c r="L47" s="305"/>
      <c r="M47" s="305"/>
    </row>
    <row r="48" spans="1:13" x14ac:dyDescent="0.2">
      <c r="A48" s="305"/>
      <c r="B48" s="305"/>
      <c r="C48" s="305"/>
      <c r="D48" s="305"/>
      <c r="E48" s="305"/>
      <c r="F48" s="305"/>
      <c r="G48" s="305"/>
      <c r="H48" s="305"/>
      <c r="I48" s="305"/>
      <c r="J48" s="305"/>
      <c r="K48" s="305"/>
      <c r="L48" s="305"/>
      <c r="M48" s="305"/>
    </row>
    <row r="49" spans="1:13" x14ac:dyDescent="0.2">
      <c r="A49" s="305"/>
      <c r="B49" s="305"/>
      <c r="C49" s="305"/>
      <c r="D49" s="305"/>
      <c r="E49" s="305"/>
      <c r="F49" s="305"/>
      <c r="G49" s="305"/>
      <c r="H49" s="305"/>
      <c r="I49" s="305"/>
      <c r="J49" s="305"/>
      <c r="K49" s="305"/>
      <c r="L49" s="305"/>
      <c r="M49" s="305"/>
    </row>
    <row r="50" spans="1:13" x14ac:dyDescent="0.2">
      <c r="A50" s="305"/>
      <c r="B50" s="305"/>
      <c r="C50" s="305"/>
      <c r="D50" s="305"/>
      <c r="E50" s="305"/>
      <c r="F50" s="305"/>
      <c r="G50" s="305"/>
      <c r="H50" s="305"/>
      <c r="I50" s="305"/>
      <c r="J50" s="305"/>
      <c r="K50" s="305"/>
      <c r="L50" s="305"/>
      <c r="M50" s="305"/>
    </row>
    <row r="51" spans="1:13" x14ac:dyDescent="0.2">
      <c r="A51" s="305"/>
      <c r="B51" s="305"/>
      <c r="C51" s="305"/>
      <c r="D51" s="305"/>
      <c r="E51" s="305"/>
      <c r="F51" s="305"/>
      <c r="G51" s="305"/>
      <c r="H51" s="305"/>
      <c r="I51" s="305"/>
      <c r="J51" s="305"/>
      <c r="K51" s="305"/>
      <c r="L51" s="305"/>
      <c r="M51" s="305"/>
    </row>
    <row r="52" spans="1:13" x14ac:dyDescent="0.2">
      <c r="A52" s="305"/>
      <c r="B52" s="305"/>
      <c r="C52" s="305"/>
      <c r="D52" s="305"/>
      <c r="E52" s="305"/>
      <c r="F52" s="305"/>
      <c r="G52" s="305"/>
      <c r="H52" s="305"/>
      <c r="I52" s="305"/>
      <c r="J52" s="305"/>
      <c r="K52" s="305"/>
      <c r="L52" s="305"/>
      <c r="M52" s="305"/>
    </row>
    <row r="53" spans="1:13" x14ac:dyDescent="0.2">
      <c r="A53" s="305"/>
      <c r="B53" s="305"/>
      <c r="C53" s="305"/>
      <c r="D53" s="305"/>
      <c r="E53" s="305"/>
      <c r="F53" s="305"/>
      <c r="G53" s="305"/>
      <c r="H53" s="305"/>
      <c r="I53" s="305"/>
      <c r="J53" s="305"/>
      <c r="K53" s="305"/>
      <c r="L53" s="305"/>
      <c r="M53" s="305"/>
    </row>
    <row r="54" spans="1:13" x14ac:dyDescent="0.2">
      <c r="A54" s="305"/>
      <c r="B54" s="305"/>
      <c r="C54" s="305"/>
      <c r="D54" s="305"/>
      <c r="E54" s="305"/>
      <c r="F54" s="305"/>
      <c r="G54" s="305"/>
      <c r="H54" s="305"/>
      <c r="I54" s="305"/>
      <c r="J54" s="305"/>
      <c r="K54" s="305"/>
      <c r="L54" s="305"/>
      <c r="M54" s="305"/>
    </row>
    <row r="55" spans="1:13" x14ac:dyDescent="0.2">
      <c r="A55" s="305"/>
      <c r="B55" s="305"/>
      <c r="C55" s="305"/>
      <c r="D55" s="305"/>
      <c r="E55" s="305"/>
      <c r="F55" s="305"/>
      <c r="G55" s="305"/>
      <c r="H55" s="305"/>
      <c r="I55" s="305"/>
      <c r="J55" s="305"/>
      <c r="K55" s="305"/>
      <c r="L55" s="305"/>
      <c r="M55" s="305"/>
    </row>
    <row r="56" spans="1:13" x14ac:dyDescent="0.2">
      <c r="A56" s="305"/>
      <c r="B56" s="305"/>
      <c r="C56" s="305"/>
      <c r="D56" s="305"/>
      <c r="E56" s="305"/>
      <c r="F56" s="305"/>
      <c r="G56" s="305"/>
      <c r="H56" s="305"/>
      <c r="I56" s="305"/>
      <c r="J56" s="305"/>
      <c r="K56" s="305"/>
      <c r="L56" s="305"/>
      <c r="M56" s="305"/>
    </row>
    <row r="57" spans="1:13" x14ac:dyDescent="0.2">
      <c r="A57" s="305"/>
      <c r="B57" s="305"/>
      <c r="C57" s="305"/>
      <c r="D57" s="305"/>
      <c r="E57" s="305"/>
      <c r="F57" s="305"/>
      <c r="G57" s="305"/>
      <c r="H57" s="305"/>
      <c r="I57" s="305"/>
      <c r="J57" s="305"/>
      <c r="K57" s="305"/>
      <c r="L57" s="305"/>
      <c r="M57" s="305"/>
    </row>
    <row r="58" spans="1:13" x14ac:dyDescent="0.2">
      <c r="A58" s="305"/>
      <c r="B58" s="305"/>
      <c r="C58" s="305"/>
      <c r="D58" s="305"/>
      <c r="E58" s="305"/>
      <c r="F58" s="305"/>
      <c r="G58" s="305"/>
      <c r="H58" s="305"/>
      <c r="I58" s="305"/>
      <c r="J58" s="305"/>
      <c r="K58" s="305"/>
      <c r="L58" s="305"/>
      <c r="M58" s="305"/>
    </row>
    <row r="59" spans="1:13" x14ac:dyDescent="0.2">
      <c r="A59" s="305"/>
      <c r="B59" s="305"/>
      <c r="C59" s="305"/>
      <c r="D59" s="305"/>
      <c r="E59" s="305"/>
      <c r="F59" s="305"/>
      <c r="G59" s="305"/>
      <c r="H59" s="305"/>
      <c r="I59" s="305"/>
      <c r="J59" s="305"/>
      <c r="K59" s="305"/>
      <c r="L59" s="305"/>
      <c r="M59" s="305"/>
    </row>
    <row r="60" spans="1:13" x14ac:dyDescent="0.2">
      <c r="A60" s="305"/>
      <c r="B60" s="305"/>
      <c r="C60" s="305"/>
      <c r="D60" s="305"/>
      <c r="E60" s="305"/>
      <c r="F60" s="305"/>
      <c r="G60" s="305"/>
      <c r="H60" s="305"/>
      <c r="I60" s="305"/>
      <c r="J60" s="305"/>
      <c r="K60" s="305"/>
      <c r="L60" s="305"/>
      <c r="M60" s="305"/>
    </row>
    <row r="61" spans="1:13" x14ac:dyDescent="0.2">
      <c r="A61" s="305"/>
      <c r="B61" s="305"/>
      <c r="C61" s="305"/>
      <c r="D61" s="305"/>
      <c r="E61" s="305"/>
      <c r="F61" s="305"/>
      <c r="G61" s="305"/>
      <c r="H61" s="305"/>
      <c r="I61" s="305"/>
      <c r="J61" s="305"/>
      <c r="K61" s="305"/>
      <c r="L61" s="305"/>
      <c r="M61" s="305"/>
    </row>
    <row r="62" spans="1:13" x14ac:dyDescent="0.2">
      <c r="A62" s="305"/>
      <c r="B62" s="305"/>
      <c r="C62" s="305"/>
      <c r="D62" s="305"/>
      <c r="E62" s="305"/>
      <c r="F62" s="305"/>
      <c r="G62" s="305"/>
      <c r="H62" s="305"/>
      <c r="I62" s="305"/>
      <c r="J62" s="305"/>
      <c r="K62" s="305"/>
      <c r="L62" s="305"/>
      <c r="M62" s="305"/>
    </row>
    <row r="63" spans="1:13" x14ac:dyDescent="0.2">
      <c r="A63" s="305"/>
      <c r="B63" s="305"/>
      <c r="C63" s="305"/>
      <c r="D63" s="305"/>
      <c r="E63" s="305"/>
      <c r="F63" s="305"/>
      <c r="G63" s="305"/>
      <c r="H63" s="305"/>
      <c r="I63" s="305"/>
      <c r="J63" s="305"/>
      <c r="K63" s="305"/>
      <c r="L63" s="305"/>
      <c r="M63" s="305"/>
    </row>
    <row r="64" spans="1:13" x14ac:dyDescent="0.2">
      <c r="A64" s="305"/>
      <c r="B64" s="305"/>
      <c r="C64" s="305"/>
      <c r="D64" s="305"/>
      <c r="E64" s="305"/>
      <c r="F64" s="305"/>
      <c r="G64" s="305"/>
      <c r="H64" s="305"/>
      <c r="I64" s="305"/>
      <c r="J64" s="305"/>
      <c r="K64" s="305"/>
      <c r="L64" s="305"/>
      <c r="M64" s="305"/>
    </row>
    <row r="65" spans="1:13" x14ac:dyDescent="0.2">
      <c r="A65" s="305"/>
      <c r="B65" s="305"/>
      <c r="C65" s="305"/>
      <c r="D65" s="305"/>
      <c r="E65" s="305"/>
      <c r="F65" s="305"/>
      <c r="G65" s="305"/>
      <c r="H65" s="305"/>
      <c r="I65" s="305"/>
      <c r="J65" s="305"/>
      <c r="K65" s="305"/>
      <c r="L65" s="305"/>
      <c r="M65" s="305"/>
    </row>
    <row r="66" spans="1:13" x14ac:dyDescent="0.2">
      <c r="A66" s="305"/>
      <c r="B66" s="305"/>
      <c r="C66" s="305"/>
      <c r="D66" s="305"/>
      <c r="E66" s="305"/>
      <c r="F66" s="305"/>
      <c r="G66" s="305"/>
      <c r="H66" s="305"/>
      <c r="I66" s="305"/>
      <c r="J66" s="305"/>
      <c r="K66" s="305"/>
      <c r="L66" s="305"/>
      <c r="M66" s="305"/>
    </row>
    <row r="67" spans="1:13" x14ac:dyDescent="0.2">
      <c r="A67" s="305"/>
      <c r="B67" s="305"/>
      <c r="C67" s="305"/>
      <c r="D67" s="305"/>
      <c r="E67" s="305"/>
      <c r="F67" s="305"/>
      <c r="G67" s="305"/>
      <c r="H67" s="305"/>
      <c r="I67" s="305"/>
      <c r="J67" s="305"/>
      <c r="K67" s="305"/>
      <c r="L67" s="305"/>
      <c r="M67" s="305"/>
    </row>
    <row r="68" spans="1:13" x14ac:dyDescent="0.2">
      <c r="A68" s="305"/>
      <c r="B68" s="305"/>
      <c r="C68" s="305"/>
      <c r="D68" s="305"/>
      <c r="E68" s="305"/>
      <c r="F68" s="305"/>
      <c r="G68" s="305"/>
      <c r="H68" s="305"/>
      <c r="I68" s="305"/>
      <c r="J68" s="305"/>
      <c r="K68" s="305"/>
      <c r="L68" s="305"/>
      <c r="M68" s="305"/>
    </row>
    <row r="69" spans="1:13" x14ac:dyDescent="0.2">
      <c r="A69" s="305"/>
      <c r="B69" s="305"/>
      <c r="C69" s="305"/>
      <c r="D69" s="305"/>
      <c r="E69" s="305"/>
      <c r="F69" s="305"/>
      <c r="G69" s="305"/>
      <c r="H69" s="305"/>
      <c r="I69" s="305"/>
      <c r="J69" s="305"/>
      <c r="K69" s="305"/>
      <c r="L69" s="305"/>
      <c r="M69" s="305"/>
    </row>
    <row r="70" spans="1:13" x14ac:dyDescent="0.2">
      <c r="A70" s="305"/>
      <c r="B70" s="305"/>
      <c r="C70" s="305"/>
      <c r="D70" s="305"/>
      <c r="E70" s="305"/>
      <c r="F70" s="305"/>
      <c r="G70" s="305"/>
      <c r="H70" s="305"/>
      <c r="I70" s="305"/>
      <c r="J70" s="305"/>
      <c r="K70" s="305"/>
      <c r="L70" s="305"/>
      <c r="M70" s="305"/>
    </row>
    <row r="71" spans="1:13" x14ac:dyDescent="0.2">
      <c r="A71" s="305"/>
      <c r="B71" s="305"/>
      <c r="C71" s="305"/>
      <c r="D71" s="305"/>
      <c r="E71" s="305"/>
      <c r="F71" s="305"/>
      <c r="G71" s="305"/>
      <c r="H71" s="305"/>
      <c r="I71" s="305"/>
      <c r="J71" s="305"/>
      <c r="K71" s="305"/>
      <c r="L71" s="305"/>
      <c r="M71" s="305"/>
    </row>
    <row r="72" spans="1:13" x14ac:dyDescent="0.2">
      <c r="A72" s="305"/>
      <c r="B72" s="305"/>
      <c r="C72" s="305"/>
      <c r="D72" s="305"/>
      <c r="E72" s="305"/>
      <c r="F72" s="305"/>
      <c r="G72" s="305"/>
      <c r="H72" s="305"/>
      <c r="I72" s="305"/>
      <c r="J72" s="305"/>
      <c r="K72" s="305"/>
      <c r="L72" s="305"/>
      <c r="M72" s="305"/>
    </row>
    <row r="73" spans="1:13" x14ac:dyDescent="0.2">
      <c r="A73" s="305"/>
      <c r="B73" s="305"/>
      <c r="C73" s="305"/>
      <c r="D73" s="305"/>
      <c r="E73" s="305"/>
      <c r="F73" s="305"/>
      <c r="G73" s="305"/>
      <c r="H73" s="305"/>
      <c r="I73" s="305"/>
      <c r="J73" s="305"/>
      <c r="K73" s="305"/>
      <c r="L73" s="305"/>
      <c r="M73" s="305"/>
    </row>
    <row r="74" spans="1:13" x14ac:dyDescent="0.2">
      <c r="A74" s="305"/>
      <c r="B74" s="305"/>
      <c r="C74" s="305"/>
      <c r="D74" s="305"/>
      <c r="E74" s="305"/>
      <c r="F74" s="305"/>
      <c r="G74" s="305"/>
      <c r="H74" s="305"/>
      <c r="I74" s="305"/>
      <c r="J74" s="305"/>
      <c r="K74" s="305"/>
      <c r="L74" s="305"/>
      <c r="M74" s="305"/>
    </row>
    <row r="75" spans="1:13" x14ac:dyDescent="0.2">
      <c r="A75" s="305"/>
      <c r="B75" s="305"/>
      <c r="C75" s="305"/>
      <c r="D75" s="305"/>
      <c r="E75" s="305"/>
      <c r="F75" s="305"/>
      <c r="G75" s="305"/>
      <c r="H75" s="305"/>
      <c r="I75" s="305"/>
      <c r="J75" s="305"/>
      <c r="K75" s="305"/>
      <c r="L75" s="305"/>
      <c r="M75" s="305"/>
    </row>
    <row r="76" spans="1:13" x14ac:dyDescent="0.2">
      <c r="A76" s="305"/>
      <c r="B76" s="305"/>
      <c r="C76" s="305"/>
      <c r="D76" s="305"/>
      <c r="E76" s="305"/>
      <c r="F76" s="305"/>
      <c r="G76" s="305"/>
      <c r="H76" s="305"/>
      <c r="I76" s="305"/>
      <c r="J76" s="305"/>
      <c r="K76" s="305"/>
      <c r="L76" s="305"/>
      <c r="M76" s="305"/>
    </row>
    <row r="77" spans="1:13" x14ac:dyDescent="0.2">
      <c r="A77" s="305"/>
      <c r="B77" s="305"/>
      <c r="C77" s="305"/>
      <c r="D77" s="305"/>
      <c r="E77" s="305"/>
      <c r="F77" s="305"/>
      <c r="G77" s="305"/>
      <c r="H77" s="305"/>
      <c r="I77" s="305"/>
      <c r="J77" s="305"/>
      <c r="K77" s="305"/>
      <c r="L77" s="305"/>
      <c r="M77" s="305"/>
    </row>
    <row r="78" spans="1:13" x14ac:dyDescent="0.2">
      <c r="A78" s="305"/>
      <c r="B78" s="305"/>
      <c r="C78" s="305"/>
      <c r="D78" s="305"/>
      <c r="E78" s="305"/>
      <c r="F78" s="305"/>
      <c r="G78" s="305"/>
      <c r="H78" s="305"/>
      <c r="I78" s="305"/>
      <c r="J78" s="305"/>
      <c r="K78" s="305"/>
      <c r="L78" s="305"/>
      <c r="M78" s="305"/>
    </row>
    <row r="79" spans="1:13" x14ac:dyDescent="0.2">
      <c r="A79" s="305"/>
      <c r="B79" s="305"/>
      <c r="C79" s="305"/>
      <c r="D79" s="305"/>
      <c r="E79" s="305"/>
      <c r="F79" s="305"/>
      <c r="G79" s="305"/>
      <c r="H79" s="305"/>
      <c r="I79" s="305"/>
      <c r="J79" s="305"/>
      <c r="K79" s="305"/>
      <c r="L79" s="305"/>
      <c r="M79" s="305"/>
    </row>
    <row r="80" spans="1:13" x14ac:dyDescent="0.2">
      <c r="A80" s="305"/>
      <c r="B80" s="305"/>
      <c r="C80" s="305"/>
      <c r="D80" s="305"/>
      <c r="E80" s="305"/>
      <c r="F80" s="305"/>
      <c r="G80" s="305"/>
      <c r="H80" s="305"/>
      <c r="I80" s="305"/>
      <c r="J80" s="305"/>
      <c r="K80" s="305"/>
      <c r="L80" s="305"/>
      <c r="M80" s="305"/>
    </row>
    <row r="81" spans="1:13" x14ac:dyDescent="0.2">
      <c r="A81" s="305"/>
      <c r="B81" s="305"/>
      <c r="C81" s="305"/>
      <c r="D81" s="305"/>
      <c r="E81" s="305"/>
      <c r="F81" s="305"/>
      <c r="G81" s="305"/>
      <c r="H81" s="305"/>
      <c r="I81" s="305"/>
      <c r="J81" s="305"/>
      <c r="K81" s="305"/>
      <c r="L81" s="305"/>
      <c r="M81" s="305"/>
    </row>
    <row r="82" spans="1:13" x14ac:dyDescent="0.2">
      <c r="A82" s="305"/>
      <c r="B82" s="305"/>
      <c r="C82" s="305"/>
      <c r="D82" s="305"/>
      <c r="E82" s="305"/>
      <c r="F82" s="305"/>
      <c r="G82" s="305"/>
      <c r="H82" s="305"/>
      <c r="I82" s="305"/>
      <c r="J82" s="305"/>
      <c r="K82" s="305"/>
      <c r="L82" s="305"/>
      <c r="M82" s="305"/>
    </row>
    <row r="83" spans="1:13" x14ac:dyDescent="0.2">
      <c r="A83" s="305"/>
      <c r="B83" s="305"/>
      <c r="C83" s="305"/>
      <c r="D83" s="305"/>
      <c r="E83" s="305"/>
      <c r="F83" s="305"/>
      <c r="G83" s="305"/>
      <c r="H83" s="305"/>
      <c r="I83" s="305"/>
      <c r="J83" s="305"/>
      <c r="K83" s="305"/>
      <c r="L83" s="305"/>
      <c r="M83" s="305"/>
    </row>
    <row r="84" spans="1:13" x14ac:dyDescent="0.2">
      <c r="A84" s="305"/>
      <c r="B84" s="305"/>
      <c r="C84" s="305"/>
      <c r="D84" s="305"/>
      <c r="E84" s="305"/>
      <c r="F84" s="305"/>
      <c r="G84" s="305"/>
      <c r="H84" s="305"/>
      <c r="I84" s="305"/>
      <c r="J84" s="305"/>
      <c r="K84" s="305"/>
      <c r="L84" s="305"/>
      <c r="M84" s="305"/>
    </row>
    <row r="85" spans="1:13" x14ac:dyDescent="0.2">
      <c r="A85" s="305"/>
      <c r="B85" s="305"/>
      <c r="C85" s="305"/>
      <c r="D85" s="305"/>
      <c r="E85" s="305"/>
      <c r="F85" s="305"/>
      <c r="G85" s="305"/>
      <c r="H85" s="305"/>
      <c r="I85" s="305"/>
      <c r="J85" s="305"/>
      <c r="K85" s="305"/>
      <c r="L85" s="305"/>
      <c r="M85" s="305"/>
    </row>
    <row r="86" spans="1:13" x14ac:dyDescent="0.2">
      <c r="A86" s="305"/>
      <c r="B86" s="305"/>
      <c r="C86" s="305"/>
      <c r="D86" s="305"/>
      <c r="E86" s="305"/>
      <c r="F86" s="305"/>
      <c r="G86" s="305"/>
      <c r="H86" s="305"/>
      <c r="I86" s="305"/>
      <c r="J86" s="305"/>
      <c r="K86" s="305"/>
      <c r="L86" s="305"/>
      <c r="M86" s="305"/>
    </row>
    <row r="87" spans="1:13" x14ac:dyDescent="0.2">
      <c r="A87" s="305"/>
      <c r="B87" s="305"/>
      <c r="C87" s="305"/>
      <c r="D87" s="305"/>
      <c r="E87" s="305"/>
      <c r="F87" s="305"/>
      <c r="G87" s="305"/>
      <c r="H87" s="305"/>
      <c r="I87" s="305"/>
      <c r="J87" s="305"/>
      <c r="K87" s="305"/>
      <c r="L87" s="305"/>
      <c r="M87" s="305"/>
    </row>
    <row r="88" spans="1:13" x14ac:dyDescent="0.2">
      <c r="A88" s="305"/>
      <c r="B88" s="305"/>
      <c r="C88" s="305"/>
      <c r="D88" s="305"/>
      <c r="E88" s="305"/>
      <c r="F88" s="305"/>
      <c r="G88" s="305"/>
      <c r="H88" s="305"/>
      <c r="I88" s="305"/>
      <c r="J88" s="305"/>
      <c r="K88" s="305"/>
      <c r="L88" s="305"/>
      <c r="M88" s="305"/>
    </row>
    <row r="89" spans="1:13" x14ac:dyDescent="0.2">
      <c r="A89" s="305"/>
      <c r="B89" s="305"/>
      <c r="C89" s="305"/>
      <c r="D89" s="305"/>
      <c r="E89" s="305"/>
      <c r="F89" s="305"/>
      <c r="G89" s="305"/>
      <c r="H89" s="305"/>
      <c r="I89" s="305"/>
      <c r="J89" s="305"/>
      <c r="K89" s="305"/>
      <c r="L89" s="305"/>
      <c r="M89" s="305"/>
    </row>
    <row r="90" spans="1:13" x14ac:dyDescent="0.2">
      <c r="A90" s="305"/>
      <c r="B90" s="305"/>
      <c r="C90" s="305"/>
      <c r="D90" s="305"/>
      <c r="E90" s="305"/>
      <c r="F90" s="305"/>
      <c r="G90" s="305"/>
      <c r="H90" s="305"/>
      <c r="I90" s="305"/>
      <c r="J90" s="305"/>
      <c r="K90" s="305"/>
      <c r="L90" s="305"/>
      <c r="M90" s="305"/>
    </row>
    <row r="91" spans="1:13" x14ac:dyDescent="0.2">
      <c r="A91" s="305"/>
      <c r="B91" s="305"/>
      <c r="C91" s="305"/>
      <c r="D91" s="305"/>
      <c r="E91" s="305"/>
      <c r="F91" s="305"/>
      <c r="G91" s="305"/>
      <c r="H91" s="305"/>
      <c r="I91" s="305"/>
      <c r="J91" s="305"/>
      <c r="K91" s="305"/>
      <c r="L91" s="305"/>
      <c r="M91" s="305"/>
    </row>
    <row r="92" spans="1:13" x14ac:dyDescent="0.2">
      <c r="A92" s="305"/>
      <c r="B92" s="305"/>
      <c r="C92" s="305"/>
      <c r="D92" s="305"/>
      <c r="E92" s="305"/>
      <c r="F92" s="305"/>
      <c r="G92" s="305"/>
      <c r="H92" s="305"/>
      <c r="I92" s="305"/>
      <c r="J92" s="305"/>
      <c r="K92" s="305"/>
      <c r="L92" s="305"/>
      <c r="M92" s="305"/>
    </row>
    <row r="93" spans="1:13" x14ac:dyDescent="0.2">
      <c r="A93" s="305"/>
      <c r="B93" s="305"/>
      <c r="C93" s="305"/>
      <c r="D93" s="305"/>
      <c r="E93" s="305"/>
      <c r="F93" s="305"/>
      <c r="G93" s="305"/>
      <c r="H93" s="305"/>
      <c r="I93" s="305"/>
      <c r="J93" s="305"/>
      <c r="K93" s="305"/>
      <c r="L93" s="305"/>
      <c r="M93" s="305"/>
    </row>
    <row r="94" spans="1:13" x14ac:dyDescent="0.2">
      <c r="A94" s="305"/>
      <c r="B94" s="305"/>
      <c r="C94" s="305"/>
      <c r="D94" s="305"/>
      <c r="E94" s="305"/>
      <c r="F94" s="305"/>
      <c r="G94" s="305"/>
      <c r="H94" s="305"/>
      <c r="I94" s="305"/>
      <c r="J94" s="305"/>
      <c r="K94" s="305"/>
      <c r="L94" s="305"/>
      <c r="M94" s="305"/>
    </row>
    <row r="95" spans="1:13" x14ac:dyDescent="0.2">
      <c r="A95" s="305"/>
      <c r="B95" s="305"/>
      <c r="C95" s="305"/>
      <c r="D95" s="305"/>
      <c r="E95" s="305"/>
      <c r="F95" s="305"/>
      <c r="G95" s="305"/>
      <c r="H95" s="305"/>
      <c r="I95" s="305"/>
      <c r="J95" s="305"/>
      <c r="K95" s="305"/>
      <c r="L95" s="305"/>
      <c r="M95" s="305"/>
    </row>
    <row r="96" spans="1:13" x14ac:dyDescent="0.2">
      <c r="A96" s="305"/>
      <c r="B96" s="305"/>
      <c r="C96" s="305"/>
      <c r="D96" s="305"/>
      <c r="E96" s="305"/>
      <c r="F96" s="305"/>
      <c r="G96" s="305"/>
      <c r="H96" s="305"/>
      <c r="I96" s="305"/>
      <c r="J96" s="305"/>
      <c r="K96" s="305"/>
      <c r="L96" s="305"/>
      <c r="M96" s="305"/>
    </row>
    <row r="97" spans="1:13" x14ac:dyDescent="0.2">
      <c r="A97" s="305"/>
      <c r="B97" s="305"/>
      <c r="C97" s="305"/>
      <c r="D97" s="305"/>
      <c r="E97" s="305"/>
      <c r="F97" s="305"/>
      <c r="G97" s="305"/>
      <c r="H97" s="305"/>
      <c r="I97" s="305"/>
      <c r="J97" s="305"/>
      <c r="K97" s="305"/>
      <c r="L97" s="305"/>
      <c r="M97" s="305"/>
    </row>
    <row r="98" spans="1:13" x14ac:dyDescent="0.2">
      <c r="A98" s="305"/>
      <c r="B98" s="305"/>
      <c r="C98" s="305"/>
      <c r="D98" s="305"/>
      <c r="E98" s="305"/>
      <c r="F98" s="305"/>
      <c r="G98" s="305"/>
      <c r="H98" s="305"/>
      <c r="I98" s="305"/>
      <c r="J98" s="305"/>
      <c r="K98" s="305"/>
      <c r="L98" s="305"/>
      <c r="M98" s="305"/>
    </row>
    <row r="99" spans="1:13" x14ac:dyDescent="0.2">
      <c r="A99" s="305"/>
      <c r="B99" s="305"/>
      <c r="C99" s="305"/>
      <c r="D99" s="305"/>
      <c r="E99" s="305"/>
      <c r="F99" s="305"/>
      <c r="G99" s="305"/>
      <c r="H99" s="305"/>
      <c r="I99" s="305"/>
      <c r="J99" s="305"/>
      <c r="K99" s="305"/>
      <c r="L99" s="305"/>
      <c r="M99" s="305"/>
    </row>
    <row r="100" spans="1:13" x14ac:dyDescent="0.2">
      <c r="A100" s="305"/>
      <c r="B100" s="305"/>
      <c r="C100" s="305"/>
      <c r="D100" s="305"/>
      <c r="E100" s="305"/>
      <c r="F100" s="305"/>
      <c r="G100" s="305"/>
      <c r="H100" s="305"/>
      <c r="I100" s="305"/>
      <c r="J100" s="305"/>
      <c r="K100" s="305"/>
      <c r="L100" s="305"/>
      <c r="M100" s="305"/>
    </row>
    <row r="101" spans="1:13" x14ac:dyDescent="0.2">
      <c r="A101" s="305"/>
      <c r="B101" s="305"/>
      <c r="C101" s="305"/>
      <c r="D101" s="305"/>
      <c r="E101" s="305"/>
      <c r="F101" s="305"/>
      <c r="G101" s="305"/>
      <c r="H101" s="305"/>
      <c r="I101" s="305"/>
      <c r="J101" s="305"/>
      <c r="K101" s="305"/>
      <c r="L101" s="305"/>
      <c r="M101" s="305"/>
    </row>
    <row r="102" spans="1:13" x14ac:dyDescent="0.2">
      <c r="A102" s="305"/>
      <c r="B102" s="305"/>
      <c r="C102" s="305"/>
      <c r="D102" s="305"/>
      <c r="E102" s="305"/>
      <c r="F102" s="305"/>
      <c r="G102" s="305"/>
      <c r="H102" s="305"/>
      <c r="I102" s="305"/>
      <c r="J102" s="305"/>
      <c r="K102" s="305"/>
      <c r="L102" s="305"/>
      <c r="M102" s="305"/>
    </row>
  </sheetData>
  <pageMargins left="0.5" right="0.5" top="0.75" bottom="0.75" header="0.5" footer="0.5"/>
  <pageSetup scale="85" orientation="landscape"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A104"/>
  <sheetViews>
    <sheetView showGridLines="0" zoomScaleNormal="100" workbookViewId="0">
      <selection activeCell="F40" sqref="F40"/>
    </sheetView>
  </sheetViews>
  <sheetFormatPr defaultRowHeight="12.75" x14ac:dyDescent="0.2"/>
  <cols>
    <col min="1" max="1" width="25.85546875" style="5" customWidth="1"/>
    <col min="2" max="2" width="10.5703125" style="5" customWidth="1"/>
    <col min="3" max="3" width="4.42578125" style="5" customWidth="1"/>
    <col min="4" max="4" width="11.28515625" style="5" customWidth="1"/>
    <col min="5" max="5" width="5.85546875" style="5" customWidth="1"/>
    <col min="6" max="6" width="11.28515625" style="5" customWidth="1"/>
    <col min="7" max="7" width="8.7109375" style="5" customWidth="1"/>
    <col min="8" max="8" width="4.42578125" style="5" customWidth="1"/>
    <col min="9" max="9" width="9" style="5" bestFit="1" customWidth="1"/>
    <col min="10" max="10" width="10.85546875" style="5" customWidth="1"/>
    <col min="11" max="11" width="7.140625" style="5" customWidth="1"/>
    <col min="12" max="14" width="9.5703125" style="5"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256" width="9.140625" style="5"/>
    <col min="257" max="257" width="25.85546875" style="5" customWidth="1"/>
    <col min="258" max="258" width="10.5703125" style="5" customWidth="1"/>
    <col min="259" max="259" width="4.42578125" style="5" customWidth="1"/>
    <col min="260" max="260" width="11.28515625" style="5" customWidth="1"/>
    <col min="261" max="261" width="5.85546875" style="5" customWidth="1"/>
    <col min="262" max="262" width="11.28515625" style="5" customWidth="1"/>
    <col min="263" max="263" width="8.7109375" style="5" customWidth="1"/>
    <col min="264" max="264" width="4.42578125" style="5" customWidth="1"/>
    <col min="265" max="265" width="9" style="5" bestFit="1" customWidth="1"/>
    <col min="266" max="266" width="10.85546875" style="5" customWidth="1"/>
    <col min="267" max="267" width="7.140625" style="5" customWidth="1"/>
    <col min="268" max="270" width="9.5703125" style="5" customWidth="1"/>
    <col min="271" max="272" width="0" style="5" hidden="1" customWidth="1"/>
    <col min="273" max="278" width="9.5703125" style="5" customWidth="1"/>
    <col min="279" max="280" width="10.42578125" style="5" customWidth="1"/>
    <col min="281" max="281" width="9.85546875" style="5" customWidth="1"/>
    <col min="282" max="282" width="9.140625" style="5"/>
    <col min="283" max="283" width="10.42578125" style="5" customWidth="1"/>
    <col min="284" max="512" width="9.140625" style="5"/>
    <col min="513" max="513" width="25.85546875" style="5" customWidth="1"/>
    <col min="514" max="514" width="10.5703125" style="5" customWidth="1"/>
    <col min="515" max="515" width="4.42578125" style="5" customWidth="1"/>
    <col min="516" max="516" width="11.28515625" style="5" customWidth="1"/>
    <col min="517" max="517" width="5.85546875" style="5" customWidth="1"/>
    <col min="518" max="518" width="11.28515625" style="5" customWidth="1"/>
    <col min="519" max="519" width="8.7109375" style="5" customWidth="1"/>
    <col min="520" max="520" width="4.42578125" style="5" customWidth="1"/>
    <col min="521" max="521" width="9" style="5" bestFit="1" customWidth="1"/>
    <col min="522" max="522" width="10.85546875" style="5" customWidth="1"/>
    <col min="523" max="523" width="7.140625" style="5" customWidth="1"/>
    <col min="524" max="526" width="9.5703125" style="5" customWidth="1"/>
    <col min="527" max="528" width="0" style="5" hidden="1" customWidth="1"/>
    <col min="529" max="534" width="9.5703125" style="5" customWidth="1"/>
    <col min="535" max="536" width="10.42578125" style="5" customWidth="1"/>
    <col min="537" max="537" width="9.85546875" style="5" customWidth="1"/>
    <col min="538" max="538" width="9.140625" style="5"/>
    <col min="539" max="539" width="10.42578125" style="5" customWidth="1"/>
    <col min="540" max="768" width="9.140625" style="5"/>
    <col min="769" max="769" width="25.85546875" style="5" customWidth="1"/>
    <col min="770" max="770" width="10.5703125" style="5" customWidth="1"/>
    <col min="771" max="771" width="4.42578125" style="5" customWidth="1"/>
    <col min="772" max="772" width="11.28515625" style="5" customWidth="1"/>
    <col min="773" max="773" width="5.85546875" style="5" customWidth="1"/>
    <col min="774" max="774" width="11.28515625" style="5" customWidth="1"/>
    <col min="775" max="775" width="8.7109375" style="5" customWidth="1"/>
    <col min="776" max="776" width="4.42578125" style="5" customWidth="1"/>
    <col min="777" max="777" width="9" style="5" bestFit="1" customWidth="1"/>
    <col min="778" max="778" width="10.85546875" style="5" customWidth="1"/>
    <col min="779" max="779" width="7.140625" style="5" customWidth="1"/>
    <col min="780" max="782" width="9.5703125" style="5" customWidth="1"/>
    <col min="783" max="784" width="0" style="5" hidden="1" customWidth="1"/>
    <col min="785" max="790" width="9.5703125" style="5" customWidth="1"/>
    <col min="791" max="792" width="10.42578125" style="5" customWidth="1"/>
    <col min="793" max="793" width="9.85546875" style="5" customWidth="1"/>
    <col min="794" max="794" width="9.140625" style="5"/>
    <col min="795" max="795" width="10.42578125" style="5" customWidth="1"/>
    <col min="796" max="1024" width="9.140625" style="5"/>
    <col min="1025" max="1025" width="25.85546875" style="5" customWidth="1"/>
    <col min="1026" max="1026" width="10.5703125" style="5" customWidth="1"/>
    <col min="1027" max="1027" width="4.42578125" style="5" customWidth="1"/>
    <col min="1028" max="1028" width="11.28515625" style="5" customWidth="1"/>
    <col min="1029" max="1029" width="5.85546875" style="5" customWidth="1"/>
    <col min="1030" max="1030" width="11.28515625" style="5" customWidth="1"/>
    <col min="1031" max="1031" width="8.7109375" style="5" customWidth="1"/>
    <col min="1032" max="1032" width="4.42578125" style="5" customWidth="1"/>
    <col min="1033" max="1033" width="9" style="5" bestFit="1" customWidth="1"/>
    <col min="1034" max="1034" width="10.85546875" style="5" customWidth="1"/>
    <col min="1035" max="1035" width="7.140625" style="5" customWidth="1"/>
    <col min="1036" max="1038" width="9.5703125" style="5" customWidth="1"/>
    <col min="1039" max="1040" width="0" style="5" hidden="1" customWidth="1"/>
    <col min="1041" max="1046" width="9.5703125" style="5" customWidth="1"/>
    <col min="1047" max="1048" width="10.42578125" style="5" customWidth="1"/>
    <col min="1049" max="1049" width="9.85546875" style="5" customWidth="1"/>
    <col min="1050" max="1050" width="9.140625" style="5"/>
    <col min="1051" max="1051" width="10.42578125" style="5" customWidth="1"/>
    <col min="1052" max="1280" width="9.140625" style="5"/>
    <col min="1281" max="1281" width="25.85546875" style="5" customWidth="1"/>
    <col min="1282" max="1282" width="10.5703125" style="5" customWidth="1"/>
    <col min="1283" max="1283" width="4.42578125" style="5" customWidth="1"/>
    <col min="1284" max="1284" width="11.28515625" style="5" customWidth="1"/>
    <col min="1285" max="1285" width="5.85546875" style="5" customWidth="1"/>
    <col min="1286" max="1286" width="11.28515625" style="5" customWidth="1"/>
    <col min="1287" max="1287" width="8.7109375" style="5" customWidth="1"/>
    <col min="1288" max="1288" width="4.42578125" style="5" customWidth="1"/>
    <col min="1289" max="1289" width="9" style="5" bestFit="1" customWidth="1"/>
    <col min="1290" max="1290" width="10.85546875" style="5" customWidth="1"/>
    <col min="1291" max="1291" width="7.140625" style="5" customWidth="1"/>
    <col min="1292" max="1294" width="9.5703125" style="5" customWidth="1"/>
    <col min="1295" max="1296" width="0" style="5" hidden="1" customWidth="1"/>
    <col min="1297" max="1302" width="9.5703125" style="5" customWidth="1"/>
    <col min="1303" max="1304" width="10.42578125" style="5" customWidth="1"/>
    <col min="1305" max="1305" width="9.85546875" style="5" customWidth="1"/>
    <col min="1306" max="1306" width="9.140625" style="5"/>
    <col min="1307" max="1307" width="10.42578125" style="5" customWidth="1"/>
    <col min="1308" max="1536" width="9.140625" style="5"/>
    <col min="1537" max="1537" width="25.85546875" style="5" customWidth="1"/>
    <col min="1538" max="1538" width="10.5703125" style="5" customWidth="1"/>
    <col min="1539" max="1539" width="4.42578125" style="5" customWidth="1"/>
    <col min="1540" max="1540" width="11.28515625" style="5" customWidth="1"/>
    <col min="1541" max="1541" width="5.85546875" style="5" customWidth="1"/>
    <col min="1542" max="1542" width="11.28515625" style="5" customWidth="1"/>
    <col min="1543" max="1543" width="8.7109375" style="5" customWidth="1"/>
    <col min="1544" max="1544" width="4.42578125" style="5" customWidth="1"/>
    <col min="1545" max="1545" width="9" style="5" bestFit="1" customWidth="1"/>
    <col min="1546" max="1546" width="10.85546875" style="5" customWidth="1"/>
    <col min="1547" max="1547" width="7.140625" style="5" customWidth="1"/>
    <col min="1548" max="1550" width="9.5703125" style="5" customWidth="1"/>
    <col min="1551" max="1552" width="0" style="5" hidden="1" customWidth="1"/>
    <col min="1553" max="1558" width="9.5703125" style="5" customWidth="1"/>
    <col min="1559" max="1560" width="10.42578125" style="5" customWidth="1"/>
    <col min="1561" max="1561" width="9.85546875" style="5" customWidth="1"/>
    <col min="1562" max="1562" width="9.140625" style="5"/>
    <col min="1563" max="1563" width="10.42578125" style="5" customWidth="1"/>
    <col min="1564" max="1792" width="9.140625" style="5"/>
    <col min="1793" max="1793" width="25.85546875" style="5" customWidth="1"/>
    <col min="1794" max="1794" width="10.5703125" style="5" customWidth="1"/>
    <col min="1795" max="1795" width="4.42578125" style="5" customWidth="1"/>
    <col min="1796" max="1796" width="11.28515625" style="5" customWidth="1"/>
    <col min="1797" max="1797" width="5.85546875" style="5" customWidth="1"/>
    <col min="1798" max="1798" width="11.28515625" style="5" customWidth="1"/>
    <col min="1799" max="1799" width="8.7109375" style="5" customWidth="1"/>
    <col min="1800" max="1800" width="4.42578125" style="5" customWidth="1"/>
    <col min="1801" max="1801" width="9" style="5" bestFit="1" customWidth="1"/>
    <col min="1802" max="1802" width="10.85546875" style="5" customWidth="1"/>
    <col min="1803" max="1803" width="7.140625" style="5" customWidth="1"/>
    <col min="1804" max="1806" width="9.5703125" style="5" customWidth="1"/>
    <col min="1807" max="1808" width="0" style="5" hidden="1" customWidth="1"/>
    <col min="1809" max="1814" width="9.5703125" style="5" customWidth="1"/>
    <col min="1815" max="1816" width="10.42578125" style="5" customWidth="1"/>
    <col min="1817" max="1817" width="9.85546875" style="5" customWidth="1"/>
    <col min="1818" max="1818" width="9.140625" style="5"/>
    <col min="1819" max="1819" width="10.42578125" style="5" customWidth="1"/>
    <col min="1820" max="2048" width="9.140625" style="5"/>
    <col min="2049" max="2049" width="25.85546875" style="5" customWidth="1"/>
    <col min="2050" max="2050" width="10.5703125" style="5" customWidth="1"/>
    <col min="2051" max="2051" width="4.42578125" style="5" customWidth="1"/>
    <col min="2052" max="2052" width="11.28515625" style="5" customWidth="1"/>
    <col min="2053" max="2053" width="5.85546875" style="5" customWidth="1"/>
    <col min="2054" max="2054" width="11.28515625" style="5" customWidth="1"/>
    <col min="2055" max="2055" width="8.7109375" style="5" customWidth="1"/>
    <col min="2056" max="2056" width="4.42578125" style="5" customWidth="1"/>
    <col min="2057" max="2057" width="9" style="5" bestFit="1" customWidth="1"/>
    <col min="2058" max="2058" width="10.85546875" style="5" customWidth="1"/>
    <col min="2059" max="2059" width="7.140625" style="5" customWidth="1"/>
    <col min="2060" max="2062" width="9.5703125" style="5" customWidth="1"/>
    <col min="2063" max="2064" width="0" style="5" hidden="1" customWidth="1"/>
    <col min="2065" max="2070" width="9.5703125" style="5" customWidth="1"/>
    <col min="2071" max="2072" width="10.42578125" style="5" customWidth="1"/>
    <col min="2073" max="2073" width="9.85546875" style="5" customWidth="1"/>
    <col min="2074" max="2074" width="9.140625" style="5"/>
    <col min="2075" max="2075" width="10.42578125" style="5" customWidth="1"/>
    <col min="2076" max="2304" width="9.140625" style="5"/>
    <col min="2305" max="2305" width="25.85546875" style="5" customWidth="1"/>
    <col min="2306" max="2306" width="10.5703125" style="5" customWidth="1"/>
    <col min="2307" max="2307" width="4.42578125" style="5" customWidth="1"/>
    <col min="2308" max="2308" width="11.28515625" style="5" customWidth="1"/>
    <col min="2309" max="2309" width="5.85546875" style="5" customWidth="1"/>
    <col min="2310" max="2310" width="11.28515625" style="5" customWidth="1"/>
    <col min="2311" max="2311" width="8.7109375" style="5" customWidth="1"/>
    <col min="2312" max="2312" width="4.42578125" style="5" customWidth="1"/>
    <col min="2313" max="2313" width="9" style="5" bestFit="1" customWidth="1"/>
    <col min="2314" max="2314" width="10.85546875" style="5" customWidth="1"/>
    <col min="2315" max="2315" width="7.140625" style="5" customWidth="1"/>
    <col min="2316" max="2318" width="9.5703125" style="5" customWidth="1"/>
    <col min="2319" max="2320" width="0" style="5" hidden="1" customWidth="1"/>
    <col min="2321" max="2326" width="9.5703125" style="5" customWidth="1"/>
    <col min="2327" max="2328" width="10.42578125" style="5" customWidth="1"/>
    <col min="2329" max="2329" width="9.85546875" style="5" customWidth="1"/>
    <col min="2330" max="2330" width="9.140625" style="5"/>
    <col min="2331" max="2331" width="10.42578125" style="5" customWidth="1"/>
    <col min="2332" max="2560" width="9.140625" style="5"/>
    <col min="2561" max="2561" width="25.85546875" style="5" customWidth="1"/>
    <col min="2562" max="2562" width="10.5703125" style="5" customWidth="1"/>
    <col min="2563" max="2563" width="4.42578125" style="5" customWidth="1"/>
    <col min="2564" max="2564" width="11.28515625" style="5" customWidth="1"/>
    <col min="2565" max="2565" width="5.85546875" style="5" customWidth="1"/>
    <col min="2566" max="2566" width="11.28515625" style="5" customWidth="1"/>
    <col min="2567" max="2567" width="8.7109375" style="5" customWidth="1"/>
    <col min="2568" max="2568" width="4.42578125" style="5" customWidth="1"/>
    <col min="2569" max="2569" width="9" style="5" bestFit="1" customWidth="1"/>
    <col min="2570" max="2570" width="10.85546875" style="5" customWidth="1"/>
    <col min="2571" max="2571" width="7.140625" style="5" customWidth="1"/>
    <col min="2572" max="2574" width="9.5703125" style="5" customWidth="1"/>
    <col min="2575" max="2576" width="0" style="5" hidden="1" customWidth="1"/>
    <col min="2577" max="2582" width="9.5703125" style="5" customWidth="1"/>
    <col min="2583" max="2584" width="10.42578125" style="5" customWidth="1"/>
    <col min="2585" max="2585" width="9.85546875" style="5" customWidth="1"/>
    <col min="2586" max="2586" width="9.140625" style="5"/>
    <col min="2587" max="2587" width="10.42578125" style="5" customWidth="1"/>
    <col min="2588" max="2816" width="9.140625" style="5"/>
    <col min="2817" max="2817" width="25.85546875" style="5" customWidth="1"/>
    <col min="2818" max="2818" width="10.5703125" style="5" customWidth="1"/>
    <col min="2819" max="2819" width="4.42578125" style="5" customWidth="1"/>
    <col min="2820" max="2820" width="11.28515625" style="5" customWidth="1"/>
    <col min="2821" max="2821" width="5.85546875" style="5" customWidth="1"/>
    <col min="2822" max="2822" width="11.28515625" style="5" customWidth="1"/>
    <col min="2823" max="2823" width="8.7109375" style="5" customWidth="1"/>
    <col min="2824" max="2824" width="4.42578125" style="5" customWidth="1"/>
    <col min="2825" max="2825" width="9" style="5" bestFit="1" customWidth="1"/>
    <col min="2826" max="2826" width="10.85546875" style="5" customWidth="1"/>
    <col min="2827" max="2827" width="7.140625" style="5" customWidth="1"/>
    <col min="2828" max="2830" width="9.5703125" style="5" customWidth="1"/>
    <col min="2831" max="2832" width="0" style="5" hidden="1" customWidth="1"/>
    <col min="2833" max="2838" width="9.5703125" style="5" customWidth="1"/>
    <col min="2839" max="2840" width="10.42578125" style="5" customWidth="1"/>
    <col min="2841" max="2841" width="9.85546875" style="5" customWidth="1"/>
    <col min="2842" max="2842" width="9.140625" style="5"/>
    <col min="2843" max="2843" width="10.42578125" style="5" customWidth="1"/>
    <col min="2844" max="3072" width="9.140625" style="5"/>
    <col min="3073" max="3073" width="25.85546875" style="5" customWidth="1"/>
    <col min="3074" max="3074" width="10.5703125" style="5" customWidth="1"/>
    <col min="3075" max="3075" width="4.42578125" style="5" customWidth="1"/>
    <col min="3076" max="3076" width="11.28515625" style="5" customWidth="1"/>
    <col min="3077" max="3077" width="5.85546875" style="5" customWidth="1"/>
    <col min="3078" max="3078" width="11.28515625" style="5" customWidth="1"/>
    <col min="3079" max="3079" width="8.7109375" style="5" customWidth="1"/>
    <col min="3080" max="3080" width="4.42578125" style="5" customWidth="1"/>
    <col min="3081" max="3081" width="9" style="5" bestFit="1" customWidth="1"/>
    <col min="3082" max="3082" width="10.85546875" style="5" customWidth="1"/>
    <col min="3083" max="3083" width="7.140625" style="5" customWidth="1"/>
    <col min="3084" max="3086" width="9.5703125" style="5" customWidth="1"/>
    <col min="3087" max="3088" width="0" style="5" hidden="1" customWidth="1"/>
    <col min="3089" max="3094" width="9.5703125" style="5" customWidth="1"/>
    <col min="3095" max="3096" width="10.42578125" style="5" customWidth="1"/>
    <col min="3097" max="3097" width="9.85546875" style="5" customWidth="1"/>
    <col min="3098" max="3098" width="9.140625" style="5"/>
    <col min="3099" max="3099" width="10.42578125" style="5" customWidth="1"/>
    <col min="3100" max="3328" width="9.140625" style="5"/>
    <col min="3329" max="3329" width="25.85546875" style="5" customWidth="1"/>
    <col min="3330" max="3330" width="10.5703125" style="5" customWidth="1"/>
    <col min="3331" max="3331" width="4.42578125" style="5" customWidth="1"/>
    <col min="3332" max="3332" width="11.28515625" style="5" customWidth="1"/>
    <col min="3333" max="3333" width="5.85546875" style="5" customWidth="1"/>
    <col min="3334" max="3334" width="11.28515625" style="5" customWidth="1"/>
    <col min="3335" max="3335" width="8.7109375" style="5" customWidth="1"/>
    <col min="3336" max="3336" width="4.42578125" style="5" customWidth="1"/>
    <col min="3337" max="3337" width="9" style="5" bestFit="1" customWidth="1"/>
    <col min="3338" max="3338" width="10.85546875" style="5" customWidth="1"/>
    <col min="3339" max="3339" width="7.140625" style="5" customWidth="1"/>
    <col min="3340" max="3342" width="9.5703125" style="5" customWidth="1"/>
    <col min="3343" max="3344" width="0" style="5" hidden="1" customWidth="1"/>
    <col min="3345" max="3350" width="9.5703125" style="5" customWidth="1"/>
    <col min="3351" max="3352" width="10.42578125" style="5" customWidth="1"/>
    <col min="3353" max="3353" width="9.85546875" style="5" customWidth="1"/>
    <col min="3354" max="3354" width="9.140625" style="5"/>
    <col min="3355" max="3355" width="10.42578125" style="5" customWidth="1"/>
    <col min="3356" max="3584" width="9.140625" style="5"/>
    <col min="3585" max="3585" width="25.85546875" style="5" customWidth="1"/>
    <col min="3586" max="3586" width="10.5703125" style="5" customWidth="1"/>
    <col min="3587" max="3587" width="4.42578125" style="5" customWidth="1"/>
    <col min="3588" max="3588" width="11.28515625" style="5" customWidth="1"/>
    <col min="3589" max="3589" width="5.85546875" style="5" customWidth="1"/>
    <col min="3590" max="3590" width="11.28515625" style="5" customWidth="1"/>
    <col min="3591" max="3591" width="8.7109375" style="5" customWidth="1"/>
    <col min="3592" max="3592" width="4.42578125" style="5" customWidth="1"/>
    <col min="3593" max="3593" width="9" style="5" bestFit="1" customWidth="1"/>
    <col min="3594" max="3594" width="10.85546875" style="5" customWidth="1"/>
    <col min="3595" max="3595" width="7.140625" style="5" customWidth="1"/>
    <col min="3596" max="3598" width="9.5703125" style="5" customWidth="1"/>
    <col min="3599" max="3600" width="0" style="5" hidden="1" customWidth="1"/>
    <col min="3601" max="3606" width="9.5703125" style="5" customWidth="1"/>
    <col min="3607" max="3608" width="10.42578125" style="5" customWidth="1"/>
    <col min="3609" max="3609" width="9.85546875" style="5" customWidth="1"/>
    <col min="3610" max="3610" width="9.140625" style="5"/>
    <col min="3611" max="3611" width="10.42578125" style="5" customWidth="1"/>
    <col min="3612" max="3840" width="9.140625" style="5"/>
    <col min="3841" max="3841" width="25.85546875" style="5" customWidth="1"/>
    <col min="3842" max="3842" width="10.5703125" style="5" customWidth="1"/>
    <col min="3843" max="3843" width="4.42578125" style="5" customWidth="1"/>
    <col min="3844" max="3844" width="11.28515625" style="5" customWidth="1"/>
    <col min="3845" max="3845" width="5.85546875" style="5" customWidth="1"/>
    <col min="3846" max="3846" width="11.28515625" style="5" customWidth="1"/>
    <col min="3847" max="3847" width="8.7109375" style="5" customWidth="1"/>
    <col min="3848" max="3848" width="4.42578125" style="5" customWidth="1"/>
    <col min="3849" max="3849" width="9" style="5" bestFit="1" customWidth="1"/>
    <col min="3850" max="3850" width="10.85546875" style="5" customWidth="1"/>
    <col min="3851" max="3851" width="7.140625" style="5" customWidth="1"/>
    <col min="3852" max="3854" width="9.5703125" style="5" customWidth="1"/>
    <col min="3855" max="3856" width="0" style="5" hidden="1" customWidth="1"/>
    <col min="3857" max="3862" width="9.5703125" style="5" customWidth="1"/>
    <col min="3863" max="3864" width="10.42578125" style="5" customWidth="1"/>
    <col min="3865" max="3865" width="9.85546875" style="5" customWidth="1"/>
    <col min="3866" max="3866" width="9.140625" style="5"/>
    <col min="3867" max="3867" width="10.42578125" style="5" customWidth="1"/>
    <col min="3868" max="4096" width="9.140625" style="5"/>
    <col min="4097" max="4097" width="25.85546875" style="5" customWidth="1"/>
    <col min="4098" max="4098" width="10.5703125" style="5" customWidth="1"/>
    <col min="4099" max="4099" width="4.42578125" style="5" customWidth="1"/>
    <col min="4100" max="4100" width="11.28515625" style="5" customWidth="1"/>
    <col min="4101" max="4101" width="5.85546875" style="5" customWidth="1"/>
    <col min="4102" max="4102" width="11.28515625" style="5" customWidth="1"/>
    <col min="4103" max="4103" width="8.7109375" style="5" customWidth="1"/>
    <col min="4104" max="4104" width="4.42578125" style="5" customWidth="1"/>
    <col min="4105" max="4105" width="9" style="5" bestFit="1" customWidth="1"/>
    <col min="4106" max="4106" width="10.85546875" style="5" customWidth="1"/>
    <col min="4107" max="4107" width="7.140625" style="5" customWidth="1"/>
    <col min="4108" max="4110" width="9.5703125" style="5" customWidth="1"/>
    <col min="4111" max="4112" width="0" style="5" hidden="1" customWidth="1"/>
    <col min="4113" max="4118" width="9.5703125" style="5" customWidth="1"/>
    <col min="4119" max="4120" width="10.42578125" style="5" customWidth="1"/>
    <col min="4121" max="4121" width="9.85546875" style="5" customWidth="1"/>
    <col min="4122" max="4122" width="9.140625" style="5"/>
    <col min="4123" max="4123" width="10.42578125" style="5" customWidth="1"/>
    <col min="4124" max="4352" width="9.140625" style="5"/>
    <col min="4353" max="4353" width="25.85546875" style="5" customWidth="1"/>
    <col min="4354" max="4354" width="10.5703125" style="5" customWidth="1"/>
    <col min="4355" max="4355" width="4.42578125" style="5" customWidth="1"/>
    <col min="4356" max="4356" width="11.28515625" style="5" customWidth="1"/>
    <col min="4357" max="4357" width="5.85546875" style="5" customWidth="1"/>
    <col min="4358" max="4358" width="11.28515625" style="5" customWidth="1"/>
    <col min="4359" max="4359" width="8.7109375" style="5" customWidth="1"/>
    <col min="4360" max="4360" width="4.42578125" style="5" customWidth="1"/>
    <col min="4361" max="4361" width="9" style="5" bestFit="1" customWidth="1"/>
    <col min="4362" max="4362" width="10.85546875" style="5" customWidth="1"/>
    <col min="4363" max="4363" width="7.140625" style="5" customWidth="1"/>
    <col min="4364" max="4366" width="9.5703125" style="5" customWidth="1"/>
    <col min="4367" max="4368" width="0" style="5" hidden="1" customWidth="1"/>
    <col min="4369" max="4374" width="9.5703125" style="5" customWidth="1"/>
    <col min="4375" max="4376" width="10.42578125" style="5" customWidth="1"/>
    <col min="4377" max="4377" width="9.85546875" style="5" customWidth="1"/>
    <col min="4378" max="4378" width="9.140625" style="5"/>
    <col min="4379" max="4379" width="10.42578125" style="5" customWidth="1"/>
    <col min="4380" max="4608" width="9.140625" style="5"/>
    <col min="4609" max="4609" width="25.85546875" style="5" customWidth="1"/>
    <col min="4610" max="4610" width="10.5703125" style="5" customWidth="1"/>
    <col min="4611" max="4611" width="4.42578125" style="5" customWidth="1"/>
    <col min="4612" max="4612" width="11.28515625" style="5" customWidth="1"/>
    <col min="4613" max="4613" width="5.85546875" style="5" customWidth="1"/>
    <col min="4614" max="4614" width="11.28515625" style="5" customWidth="1"/>
    <col min="4615" max="4615" width="8.7109375" style="5" customWidth="1"/>
    <col min="4616" max="4616" width="4.42578125" style="5" customWidth="1"/>
    <col min="4617" max="4617" width="9" style="5" bestFit="1" customWidth="1"/>
    <col min="4618" max="4618" width="10.85546875" style="5" customWidth="1"/>
    <col min="4619" max="4619" width="7.140625" style="5" customWidth="1"/>
    <col min="4620" max="4622" width="9.5703125" style="5" customWidth="1"/>
    <col min="4623" max="4624" width="0" style="5" hidden="1" customWidth="1"/>
    <col min="4625" max="4630" width="9.5703125" style="5" customWidth="1"/>
    <col min="4631" max="4632" width="10.42578125" style="5" customWidth="1"/>
    <col min="4633" max="4633" width="9.85546875" style="5" customWidth="1"/>
    <col min="4634" max="4634" width="9.140625" style="5"/>
    <col min="4635" max="4635" width="10.42578125" style="5" customWidth="1"/>
    <col min="4636" max="4864" width="9.140625" style="5"/>
    <col min="4865" max="4865" width="25.85546875" style="5" customWidth="1"/>
    <col min="4866" max="4866" width="10.5703125" style="5" customWidth="1"/>
    <col min="4867" max="4867" width="4.42578125" style="5" customWidth="1"/>
    <col min="4868" max="4868" width="11.28515625" style="5" customWidth="1"/>
    <col min="4869" max="4869" width="5.85546875" style="5" customWidth="1"/>
    <col min="4870" max="4870" width="11.28515625" style="5" customWidth="1"/>
    <col min="4871" max="4871" width="8.7109375" style="5" customWidth="1"/>
    <col min="4872" max="4872" width="4.42578125" style="5" customWidth="1"/>
    <col min="4873" max="4873" width="9" style="5" bestFit="1" customWidth="1"/>
    <col min="4874" max="4874" width="10.85546875" style="5" customWidth="1"/>
    <col min="4875" max="4875" width="7.140625" style="5" customWidth="1"/>
    <col min="4876" max="4878" width="9.5703125" style="5" customWidth="1"/>
    <col min="4879" max="4880" width="0" style="5" hidden="1" customWidth="1"/>
    <col min="4881" max="4886" width="9.5703125" style="5" customWidth="1"/>
    <col min="4887" max="4888" width="10.42578125" style="5" customWidth="1"/>
    <col min="4889" max="4889" width="9.85546875" style="5" customWidth="1"/>
    <col min="4890" max="4890" width="9.140625" style="5"/>
    <col min="4891" max="4891" width="10.42578125" style="5" customWidth="1"/>
    <col min="4892" max="5120" width="9.140625" style="5"/>
    <col min="5121" max="5121" width="25.85546875" style="5" customWidth="1"/>
    <col min="5122" max="5122" width="10.5703125" style="5" customWidth="1"/>
    <col min="5123" max="5123" width="4.42578125" style="5" customWidth="1"/>
    <col min="5124" max="5124" width="11.28515625" style="5" customWidth="1"/>
    <col min="5125" max="5125" width="5.85546875" style="5" customWidth="1"/>
    <col min="5126" max="5126" width="11.28515625" style="5" customWidth="1"/>
    <col min="5127" max="5127" width="8.7109375" style="5" customWidth="1"/>
    <col min="5128" max="5128" width="4.42578125" style="5" customWidth="1"/>
    <col min="5129" max="5129" width="9" style="5" bestFit="1" customWidth="1"/>
    <col min="5130" max="5130" width="10.85546875" style="5" customWidth="1"/>
    <col min="5131" max="5131" width="7.140625" style="5" customWidth="1"/>
    <col min="5132" max="5134" width="9.5703125" style="5" customWidth="1"/>
    <col min="5135" max="5136" width="0" style="5" hidden="1" customWidth="1"/>
    <col min="5137" max="5142" width="9.5703125" style="5" customWidth="1"/>
    <col min="5143" max="5144" width="10.42578125" style="5" customWidth="1"/>
    <col min="5145" max="5145" width="9.85546875" style="5" customWidth="1"/>
    <col min="5146" max="5146" width="9.140625" style="5"/>
    <col min="5147" max="5147" width="10.42578125" style="5" customWidth="1"/>
    <col min="5148" max="5376" width="9.140625" style="5"/>
    <col min="5377" max="5377" width="25.85546875" style="5" customWidth="1"/>
    <col min="5378" max="5378" width="10.5703125" style="5" customWidth="1"/>
    <col min="5379" max="5379" width="4.42578125" style="5" customWidth="1"/>
    <col min="5380" max="5380" width="11.28515625" style="5" customWidth="1"/>
    <col min="5381" max="5381" width="5.85546875" style="5" customWidth="1"/>
    <col min="5382" max="5382" width="11.28515625" style="5" customWidth="1"/>
    <col min="5383" max="5383" width="8.7109375" style="5" customWidth="1"/>
    <col min="5384" max="5384" width="4.42578125" style="5" customWidth="1"/>
    <col min="5385" max="5385" width="9" style="5" bestFit="1" customWidth="1"/>
    <col min="5386" max="5386" width="10.85546875" style="5" customWidth="1"/>
    <col min="5387" max="5387" width="7.140625" style="5" customWidth="1"/>
    <col min="5388" max="5390" width="9.5703125" style="5" customWidth="1"/>
    <col min="5391" max="5392" width="0" style="5" hidden="1" customWidth="1"/>
    <col min="5393" max="5398" width="9.5703125" style="5" customWidth="1"/>
    <col min="5399" max="5400" width="10.42578125" style="5" customWidth="1"/>
    <col min="5401" max="5401" width="9.85546875" style="5" customWidth="1"/>
    <col min="5402" max="5402" width="9.140625" style="5"/>
    <col min="5403" max="5403" width="10.42578125" style="5" customWidth="1"/>
    <col min="5404" max="5632" width="9.140625" style="5"/>
    <col min="5633" max="5633" width="25.85546875" style="5" customWidth="1"/>
    <col min="5634" max="5634" width="10.5703125" style="5" customWidth="1"/>
    <col min="5635" max="5635" width="4.42578125" style="5" customWidth="1"/>
    <col min="5636" max="5636" width="11.28515625" style="5" customWidth="1"/>
    <col min="5637" max="5637" width="5.85546875" style="5" customWidth="1"/>
    <col min="5638" max="5638" width="11.28515625" style="5" customWidth="1"/>
    <col min="5639" max="5639" width="8.7109375" style="5" customWidth="1"/>
    <col min="5640" max="5640" width="4.42578125" style="5" customWidth="1"/>
    <col min="5641" max="5641" width="9" style="5" bestFit="1" customWidth="1"/>
    <col min="5642" max="5642" width="10.85546875" style="5" customWidth="1"/>
    <col min="5643" max="5643" width="7.140625" style="5" customWidth="1"/>
    <col min="5644" max="5646" width="9.5703125" style="5" customWidth="1"/>
    <col min="5647" max="5648" width="0" style="5" hidden="1" customWidth="1"/>
    <col min="5649" max="5654" width="9.5703125" style="5" customWidth="1"/>
    <col min="5655" max="5656" width="10.42578125" style="5" customWidth="1"/>
    <col min="5657" max="5657" width="9.85546875" style="5" customWidth="1"/>
    <col min="5658" max="5658" width="9.140625" style="5"/>
    <col min="5659" max="5659" width="10.42578125" style="5" customWidth="1"/>
    <col min="5660" max="5888" width="9.140625" style="5"/>
    <col min="5889" max="5889" width="25.85546875" style="5" customWidth="1"/>
    <col min="5890" max="5890" width="10.5703125" style="5" customWidth="1"/>
    <col min="5891" max="5891" width="4.42578125" style="5" customWidth="1"/>
    <col min="5892" max="5892" width="11.28515625" style="5" customWidth="1"/>
    <col min="5893" max="5893" width="5.85546875" style="5" customWidth="1"/>
    <col min="5894" max="5894" width="11.28515625" style="5" customWidth="1"/>
    <col min="5895" max="5895" width="8.7109375" style="5" customWidth="1"/>
    <col min="5896" max="5896" width="4.42578125" style="5" customWidth="1"/>
    <col min="5897" max="5897" width="9" style="5" bestFit="1" customWidth="1"/>
    <col min="5898" max="5898" width="10.85546875" style="5" customWidth="1"/>
    <col min="5899" max="5899" width="7.140625" style="5" customWidth="1"/>
    <col min="5900" max="5902" width="9.5703125" style="5" customWidth="1"/>
    <col min="5903" max="5904" width="0" style="5" hidden="1" customWidth="1"/>
    <col min="5905" max="5910" width="9.5703125" style="5" customWidth="1"/>
    <col min="5911" max="5912" width="10.42578125" style="5" customWidth="1"/>
    <col min="5913" max="5913" width="9.85546875" style="5" customWidth="1"/>
    <col min="5914" max="5914" width="9.140625" style="5"/>
    <col min="5915" max="5915" width="10.42578125" style="5" customWidth="1"/>
    <col min="5916" max="6144" width="9.140625" style="5"/>
    <col min="6145" max="6145" width="25.85546875" style="5" customWidth="1"/>
    <col min="6146" max="6146" width="10.5703125" style="5" customWidth="1"/>
    <col min="6147" max="6147" width="4.42578125" style="5" customWidth="1"/>
    <col min="6148" max="6148" width="11.28515625" style="5" customWidth="1"/>
    <col min="6149" max="6149" width="5.85546875" style="5" customWidth="1"/>
    <col min="6150" max="6150" width="11.28515625" style="5" customWidth="1"/>
    <col min="6151" max="6151" width="8.7109375" style="5" customWidth="1"/>
    <col min="6152" max="6152" width="4.42578125" style="5" customWidth="1"/>
    <col min="6153" max="6153" width="9" style="5" bestFit="1" customWidth="1"/>
    <col min="6154" max="6154" width="10.85546875" style="5" customWidth="1"/>
    <col min="6155" max="6155" width="7.140625" style="5" customWidth="1"/>
    <col min="6156" max="6158" width="9.5703125" style="5" customWidth="1"/>
    <col min="6159" max="6160" width="0" style="5" hidden="1" customWidth="1"/>
    <col min="6161" max="6166" width="9.5703125" style="5" customWidth="1"/>
    <col min="6167" max="6168" width="10.42578125" style="5" customWidth="1"/>
    <col min="6169" max="6169" width="9.85546875" style="5" customWidth="1"/>
    <col min="6170" max="6170" width="9.140625" style="5"/>
    <col min="6171" max="6171" width="10.42578125" style="5" customWidth="1"/>
    <col min="6172" max="6400" width="9.140625" style="5"/>
    <col min="6401" max="6401" width="25.85546875" style="5" customWidth="1"/>
    <col min="6402" max="6402" width="10.5703125" style="5" customWidth="1"/>
    <col min="6403" max="6403" width="4.42578125" style="5" customWidth="1"/>
    <col min="6404" max="6404" width="11.28515625" style="5" customWidth="1"/>
    <col min="6405" max="6405" width="5.85546875" style="5" customWidth="1"/>
    <col min="6406" max="6406" width="11.28515625" style="5" customWidth="1"/>
    <col min="6407" max="6407" width="8.7109375" style="5" customWidth="1"/>
    <col min="6408" max="6408" width="4.42578125" style="5" customWidth="1"/>
    <col min="6409" max="6409" width="9" style="5" bestFit="1" customWidth="1"/>
    <col min="6410" max="6410" width="10.85546875" style="5" customWidth="1"/>
    <col min="6411" max="6411" width="7.140625" style="5" customWidth="1"/>
    <col min="6412" max="6414" width="9.5703125" style="5" customWidth="1"/>
    <col min="6415" max="6416" width="0" style="5" hidden="1" customWidth="1"/>
    <col min="6417" max="6422" width="9.5703125" style="5" customWidth="1"/>
    <col min="6423" max="6424" width="10.42578125" style="5" customWidth="1"/>
    <col min="6425" max="6425" width="9.85546875" style="5" customWidth="1"/>
    <col min="6426" max="6426" width="9.140625" style="5"/>
    <col min="6427" max="6427" width="10.42578125" style="5" customWidth="1"/>
    <col min="6428" max="6656" width="9.140625" style="5"/>
    <col min="6657" max="6657" width="25.85546875" style="5" customWidth="1"/>
    <col min="6658" max="6658" width="10.5703125" style="5" customWidth="1"/>
    <col min="6659" max="6659" width="4.42578125" style="5" customWidth="1"/>
    <col min="6660" max="6660" width="11.28515625" style="5" customWidth="1"/>
    <col min="6661" max="6661" width="5.85546875" style="5" customWidth="1"/>
    <col min="6662" max="6662" width="11.28515625" style="5" customWidth="1"/>
    <col min="6663" max="6663" width="8.7109375" style="5" customWidth="1"/>
    <col min="6664" max="6664" width="4.42578125" style="5" customWidth="1"/>
    <col min="6665" max="6665" width="9" style="5" bestFit="1" customWidth="1"/>
    <col min="6666" max="6666" width="10.85546875" style="5" customWidth="1"/>
    <col min="6667" max="6667" width="7.140625" style="5" customWidth="1"/>
    <col min="6668" max="6670" width="9.5703125" style="5" customWidth="1"/>
    <col min="6671" max="6672" width="0" style="5" hidden="1" customWidth="1"/>
    <col min="6673" max="6678" width="9.5703125" style="5" customWidth="1"/>
    <col min="6679" max="6680" width="10.42578125" style="5" customWidth="1"/>
    <col min="6681" max="6681" width="9.85546875" style="5" customWidth="1"/>
    <col min="6682" max="6682" width="9.140625" style="5"/>
    <col min="6683" max="6683" width="10.42578125" style="5" customWidth="1"/>
    <col min="6684" max="6912" width="9.140625" style="5"/>
    <col min="6913" max="6913" width="25.85546875" style="5" customWidth="1"/>
    <col min="6914" max="6914" width="10.5703125" style="5" customWidth="1"/>
    <col min="6915" max="6915" width="4.42578125" style="5" customWidth="1"/>
    <col min="6916" max="6916" width="11.28515625" style="5" customWidth="1"/>
    <col min="6917" max="6917" width="5.85546875" style="5" customWidth="1"/>
    <col min="6918" max="6918" width="11.28515625" style="5" customWidth="1"/>
    <col min="6919" max="6919" width="8.7109375" style="5" customWidth="1"/>
    <col min="6920" max="6920" width="4.42578125" style="5" customWidth="1"/>
    <col min="6921" max="6921" width="9" style="5" bestFit="1" customWidth="1"/>
    <col min="6922" max="6922" width="10.85546875" style="5" customWidth="1"/>
    <col min="6923" max="6923" width="7.140625" style="5" customWidth="1"/>
    <col min="6924" max="6926" width="9.5703125" style="5" customWidth="1"/>
    <col min="6927" max="6928" width="0" style="5" hidden="1" customWidth="1"/>
    <col min="6929" max="6934" width="9.5703125" style="5" customWidth="1"/>
    <col min="6935" max="6936" width="10.42578125" style="5" customWidth="1"/>
    <col min="6937" max="6937" width="9.85546875" style="5" customWidth="1"/>
    <col min="6938" max="6938" width="9.140625" style="5"/>
    <col min="6939" max="6939" width="10.42578125" style="5" customWidth="1"/>
    <col min="6940" max="7168" width="9.140625" style="5"/>
    <col min="7169" max="7169" width="25.85546875" style="5" customWidth="1"/>
    <col min="7170" max="7170" width="10.5703125" style="5" customWidth="1"/>
    <col min="7171" max="7171" width="4.42578125" style="5" customWidth="1"/>
    <col min="7172" max="7172" width="11.28515625" style="5" customWidth="1"/>
    <col min="7173" max="7173" width="5.85546875" style="5" customWidth="1"/>
    <col min="7174" max="7174" width="11.28515625" style="5" customWidth="1"/>
    <col min="7175" max="7175" width="8.7109375" style="5" customWidth="1"/>
    <col min="7176" max="7176" width="4.42578125" style="5" customWidth="1"/>
    <col min="7177" max="7177" width="9" style="5" bestFit="1" customWidth="1"/>
    <col min="7178" max="7178" width="10.85546875" style="5" customWidth="1"/>
    <col min="7179" max="7179" width="7.140625" style="5" customWidth="1"/>
    <col min="7180" max="7182" width="9.5703125" style="5" customWidth="1"/>
    <col min="7183" max="7184" width="0" style="5" hidden="1" customWidth="1"/>
    <col min="7185" max="7190" width="9.5703125" style="5" customWidth="1"/>
    <col min="7191" max="7192" width="10.42578125" style="5" customWidth="1"/>
    <col min="7193" max="7193" width="9.85546875" style="5" customWidth="1"/>
    <col min="7194" max="7194" width="9.140625" style="5"/>
    <col min="7195" max="7195" width="10.42578125" style="5" customWidth="1"/>
    <col min="7196" max="7424" width="9.140625" style="5"/>
    <col min="7425" max="7425" width="25.85546875" style="5" customWidth="1"/>
    <col min="7426" max="7426" width="10.5703125" style="5" customWidth="1"/>
    <col min="7427" max="7427" width="4.42578125" style="5" customWidth="1"/>
    <col min="7428" max="7428" width="11.28515625" style="5" customWidth="1"/>
    <col min="7429" max="7429" width="5.85546875" style="5" customWidth="1"/>
    <col min="7430" max="7430" width="11.28515625" style="5" customWidth="1"/>
    <col min="7431" max="7431" width="8.7109375" style="5" customWidth="1"/>
    <col min="7432" max="7432" width="4.42578125" style="5" customWidth="1"/>
    <col min="7433" max="7433" width="9" style="5" bestFit="1" customWidth="1"/>
    <col min="7434" max="7434" width="10.85546875" style="5" customWidth="1"/>
    <col min="7435" max="7435" width="7.140625" style="5" customWidth="1"/>
    <col min="7436" max="7438" width="9.5703125" style="5" customWidth="1"/>
    <col min="7439" max="7440" width="0" style="5" hidden="1" customWidth="1"/>
    <col min="7441" max="7446" width="9.5703125" style="5" customWidth="1"/>
    <col min="7447" max="7448" width="10.42578125" style="5" customWidth="1"/>
    <col min="7449" max="7449" width="9.85546875" style="5" customWidth="1"/>
    <col min="7450" max="7450" width="9.140625" style="5"/>
    <col min="7451" max="7451" width="10.42578125" style="5" customWidth="1"/>
    <col min="7452" max="7680" width="9.140625" style="5"/>
    <col min="7681" max="7681" width="25.85546875" style="5" customWidth="1"/>
    <col min="7682" max="7682" width="10.5703125" style="5" customWidth="1"/>
    <col min="7683" max="7683" width="4.42578125" style="5" customWidth="1"/>
    <col min="7684" max="7684" width="11.28515625" style="5" customWidth="1"/>
    <col min="7685" max="7685" width="5.85546875" style="5" customWidth="1"/>
    <col min="7686" max="7686" width="11.28515625" style="5" customWidth="1"/>
    <col min="7687" max="7687" width="8.7109375" style="5" customWidth="1"/>
    <col min="7688" max="7688" width="4.42578125" style="5" customWidth="1"/>
    <col min="7689" max="7689" width="9" style="5" bestFit="1" customWidth="1"/>
    <col min="7690" max="7690" width="10.85546875" style="5" customWidth="1"/>
    <col min="7691" max="7691" width="7.140625" style="5" customWidth="1"/>
    <col min="7692" max="7694" width="9.5703125" style="5" customWidth="1"/>
    <col min="7695" max="7696" width="0" style="5" hidden="1" customWidth="1"/>
    <col min="7697" max="7702" width="9.5703125" style="5" customWidth="1"/>
    <col min="7703" max="7704" width="10.42578125" style="5" customWidth="1"/>
    <col min="7705" max="7705" width="9.85546875" style="5" customWidth="1"/>
    <col min="7706" max="7706" width="9.140625" style="5"/>
    <col min="7707" max="7707" width="10.42578125" style="5" customWidth="1"/>
    <col min="7708" max="7936" width="9.140625" style="5"/>
    <col min="7937" max="7937" width="25.85546875" style="5" customWidth="1"/>
    <col min="7938" max="7938" width="10.5703125" style="5" customWidth="1"/>
    <col min="7939" max="7939" width="4.42578125" style="5" customWidth="1"/>
    <col min="7940" max="7940" width="11.28515625" style="5" customWidth="1"/>
    <col min="7941" max="7941" width="5.85546875" style="5" customWidth="1"/>
    <col min="7942" max="7942" width="11.28515625" style="5" customWidth="1"/>
    <col min="7943" max="7943" width="8.7109375" style="5" customWidth="1"/>
    <col min="7944" max="7944" width="4.42578125" style="5" customWidth="1"/>
    <col min="7945" max="7945" width="9" style="5" bestFit="1" customWidth="1"/>
    <col min="7946" max="7946" width="10.85546875" style="5" customWidth="1"/>
    <col min="7947" max="7947" width="7.140625" style="5" customWidth="1"/>
    <col min="7948" max="7950" width="9.5703125" style="5" customWidth="1"/>
    <col min="7951" max="7952" width="0" style="5" hidden="1" customWidth="1"/>
    <col min="7953" max="7958" width="9.5703125" style="5" customWidth="1"/>
    <col min="7959" max="7960" width="10.42578125" style="5" customWidth="1"/>
    <col min="7961" max="7961" width="9.85546875" style="5" customWidth="1"/>
    <col min="7962" max="7962" width="9.140625" style="5"/>
    <col min="7963" max="7963" width="10.42578125" style="5" customWidth="1"/>
    <col min="7964" max="8192" width="9.140625" style="5"/>
    <col min="8193" max="8193" width="25.85546875" style="5" customWidth="1"/>
    <col min="8194" max="8194" width="10.5703125" style="5" customWidth="1"/>
    <col min="8195" max="8195" width="4.42578125" style="5" customWidth="1"/>
    <col min="8196" max="8196" width="11.28515625" style="5" customWidth="1"/>
    <col min="8197" max="8197" width="5.85546875" style="5" customWidth="1"/>
    <col min="8198" max="8198" width="11.28515625" style="5" customWidth="1"/>
    <col min="8199" max="8199" width="8.7109375" style="5" customWidth="1"/>
    <col min="8200" max="8200" width="4.42578125" style="5" customWidth="1"/>
    <col min="8201" max="8201" width="9" style="5" bestFit="1" customWidth="1"/>
    <col min="8202" max="8202" width="10.85546875" style="5" customWidth="1"/>
    <col min="8203" max="8203" width="7.140625" style="5" customWidth="1"/>
    <col min="8204" max="8206" width="9.5703125" style="5" customWidth="1"/>
    <col min="8207" max="8208" width="0" style="5" hidden="1" customWidth="1"/>
    <col min="8209" max="8214" width="9.5703125" style="5" customWidth="1"/>
    <col min="8215" max="8216" width="10.42578125" style="5" customWidth="1"/>
    <col min="8217" max="8217" width="9.85546875" style="5" customWidth="1"/>
    <col min="8218" max="8218" width="9.140625" style="5"/>
    <col min="8219" max="8219" width="10.42578125" style="5" customWidth="1"/>
    <col min="8220" max="8448" width="9.140625" style="5"/>
    <col min="8449" max="8449" width="25.85546875" style="5" customWidth="1"/>
    <col min="8450" max="8450" width="10.5703125" style="5" customWidth="1"/>
    <col min="8451" max="8451" width="4.42578125" style="5" customWidth="1"/>
    <col min="8452" max="8452" width="11.28515625" style="5" customWidth="1"/>
    <col min="8453" max="8453" width="5.85546875" style="5" customWidth="1"/>
    <col min="8454" max="8454" width="11.28515625" style="5" customWidth="1"/>
    <col min="8455" max="8455" width="8.7109375" style="5" customWidth="1"/>
    <col min="8456" max="8456" width="4.42578125" style="5" customWidth="1"/>
    <col min="8457" max="8457" width="9" style="5" bestFit="1" customWidth="1"/>
    <col min="8458" max="8458" width="10.85546875" style="5" customWidth="1"/>
    <col min="8459" max="8459" width="7.140625" style="5" customWidth="1"/>
    <col min="8460" max="8462" width="9.5703125" style="5" customWidth="1"/>
    <col min="8463" max="8464" width="0" style="5" hidden="1" customWidth="1"/>
    <col min="8465" max="8470" width="9.5703125" style="5" customWidth="1"/>
    <col min="8471" max="8472" width="10.42578125" style="5" customWidth="1"/>
    <col min="8473" max="8473" width="9.85546875" style="5" customWidth="1"/>
    <col min="8474" max="8474" width="9.140625" style="5"/>
    <col min="8475" max="8475" width="10.42578125" style="5" customWidth="1"/>
    <col min="8476" max="8704" width="9.140625" style="5"/>
    <col min="8705" max="8705" width="25.85546875" style="5" customWidth="1"/>
    <col min="8706" max="8706" width="10.5703125" style="5" customWidth="1"/>
    <col min="8707" max="8707" width="4.42578125" style="5" customWidth="1"/>
    <col min="8708" max="8708" width="11.28515625" style="5" customWidth="1"/>
    <col min="8709" max="8709" width="5.85546875" style="5" customWidth="1"/>
    <col min="8710" max="8710" width="11.28515625" style="5" customWidth="1"/>
    <col min="8711" max="8711" width="8.7109375" style="5" customWidth="1"/>
    <col min="8712" max="8712" width="4.42578125" style="5" customWidth="1"/>
    <col min="8713" max="8713" width="9" style="5" bestFit="1" customWidth="1"/>
    <col min="8714" max="8714" width="10.85546875" style="5" customWidth="1"/>
    <col min="8715" max="8715" width="7.140625" style="5" customWidth="1"/>
    <col min="8716" max="8718" width="9.5703125" style="5" customWidth="1"/>
    <col min="8719" max="8720" width="0" style="5" hidden="1" customWidth="1"/>
    <col min="8721" max="8726" width="9.5703125" style="5" customWidth="1"/>
    <col min="8727" max="8728" width="10.42578125" style="5" customWidth="1"/>
    <col min="8729" max="8729" width="9.85546875" style="5" customWidth="1"/>
    <col min="8730" max="8730" width="9.140625" style="5"/>
    <col min="8731" max="8731" width="10.42578125" style="5" customWidth="1"/>
    <col min="8732" max="8960" width="9.140625" style="5"/>
    <col min="8961" max="8961" width="25.85546875" style="5" customWidth="1"/>
    <col min="8962" max="8962" width="10.5703125" style="5" customWidth="1"/>
    <col min="8963" max="8963" width="4.42578125" style="5" customWidth="1"/>
    <col min="8964" max="8964" width="11.28515625" style="5" customWidth="1"/>
    <col min="8965" max="8965" width="5.85546875" style="5" customWidth="1"/>
    <col min="8966" max="8966" width="11.28515625" style="5" customWidth="1"/>
    <col min="8967" max="8967" width="8.7109375" style="5" customWidth="1"/>
    <col min="8968" max="8968" width="4.42578125" style="5" customWidth="1"/>
    <col min="8969" max="8969" width="9" style="5" bestFit="1" customWidth="1"/>
    <col min="8970" max="8970" width="10.85546875" style="5" customWidth="1"/>
    <col min="8971" max="8971" width="7.140625" style="5" customWidth="1"/>
    <col min="8972" max="8974" width="9.5703125" style="5" customWidth="1"/>
    <col min="8975" max="8976" width="0" style="5" hidden="1" customWidth="1"/>
    <col min="8977" max="8982" width="9.5703125" style="5" customWidth="1"/>
    <col min="8983" max="8984" width="10.42578125" style="5" customWidth="1"/>
    <col min="8985" max="8985" width="9.85546875" style="5" customWidth="1"/>
    <col min="8986" max="8986" width="9.140625" style="5"/>
    <col min="8987" max="8987" width="10.42578125" style="5" customWidth="1"/>
    <col min="8988" max="9216" width="9.140625" style="5"/>
    <col min="9217" max="9217" width="25.85546875" style="5" customWidth="1"/>
    <col min="9218" max="9218" width="10.5703125" style="5" customWidth="1"/>
    <col min="9219" max="9219" width="4.42578125" style="5" customWidth="1"/>
    <col min="9220" max="9220" width="11.28515625" style="5" customWidth="1"/>
    <col min="9221" max="9221" width="5.85546875" style="5" customWidth="1"/>
    <col min="9222" max="9222" width="11.28515625" style="5" customWidth="1"/>
    <col min="9223" max="9223" width="8.7109375" style="5" customWidth="1"/>
    <col min="9224" max="9224" width="4.42578125" style="5" customWidth="1"/>
    <col min="9225" max="9225" width="9" style="5" bestFit="1" customWidth="1"/>
    <col min="9226" max="9226" width="10.85546875" style="5" customWidth="1"/>
    <col min="9227" max="9227" width="7.140625" style="5" customWidth="1"/>
    <col min="9228" max="9230" width="9.5703125" style="5" customWidth="1"/>
    <col min="9231" max="9232" width="0" style="5" hidden="1" customWidth="1"/>
    <col min="9233" max="9238" width="9.5703125" style="5" customWidth="1"/>
    <col min="9239" max="9240" width="10.42578125" style="5" customWidth="1"/>
    <col min="9241" max="9241" width="9.85546875" style="5" customWidth="1"/>
    <col min="9242" max="9242" width="9.140625" style="5"/>
    <col min="9243" max="9243" width="10.42578125" style="5" customWidth="1"/>
    <col min="9244" max="9472" width="9.140625" style="5"/>
    <col min="9473" max="9473" width="25.85546875" style="5" customWidth="1"/>
    <col min="9474" max="9474" width="10.5703125" style="5" customWidth="1"/>
    <col min="9475" max="9475" width="4.42578125" style="5" customWidth="1"/>
    <col min="9476" max="9476" width="11.28515625" style="5" customWidth="1"/>
    <col min="9477" max="9477" width="5.85546875" style="5" customWidth="1"/>
    <col min="9478" max="9478" width="11.28515625" style="5" customWidth="1"/>
    <col min="9479" max="9479" width="8.7109375" style="5" customWidth="1"/>
    <col min="9480" max="9480" width="4.42578125" style="5" customWidth="1"/>
    <col min="9481" max="9481" width="9" style="5" bestFit="1" customWidth="1"/>
    <col min="9482" max="9482" width="10.85546875" style="5" customWidth="1"/>
    <col min="9483" max="9483" width="7.140625" style="5" customWidth="1"/>
    <col min="9484" max="9486" width="9.5703125" style="5" customWidth="1"/>
    <col min="9487" max="9488" width="0" style="5" hidden="1" customWidth="1"/>
    <col min="9489" max="9494" width="9.5703125" style="5" customWidth="1"/>
    <col min="9495" max="9496" width="10.42578125" style="5" customWidth="1"/>
    <col min="9497" max="9497" width="9.85546875" style="5" customWidth="1"/>
    <col min="9498" max="9498" width="9.140625" style="5"/>
    <col min="9499" max="9499" width="10.42578125" style="5" customWidth="1"/>
    <col min="9500" max="9728" width="9.140625" style="5"/>
    <col min="9729" max="9729" width="25.85546875" style="5" customWidth="1"/>
    <col min="9730" max="9730" width="10.5703125" style="5" customWidth="1"/>
    <col min="9731" max="9731" width="4.42578125" style="5" customWidth="1"/>
    <col min="9732" max="9732" width="11.28515625" style="5" customWidth="1"/>
    <col min="9733" max="9733" width="5.85546875" style="5" customWidth="1"/>
    <col min="9734" max="9734" width="11.28515625" style="5" customWidth="1"/>
    <col min="9735" max="9735" width="8.7109375" style="5" customWidth="1"/>
    <col min="9736" max="9736" width="4.42578125" style="5" customWidth="1"/>
    <col min="9737" max="9737" width="9" style="5" bestFit="1" customWidth="1"/>
    <col min="9738" max="9738" width="10.85546875" style="5" customWidth="1"/>
    <col min="9739" max="9739" width="7.140625" style="5" customWidth="1"/>
    <col min="9740" max="9742" width="9.5703125" style="5" customWidth="1"/>
    <col min="9743" max="9744" width="0" style="5" hidden="1" customWidth="1"/>
    <col min="9745" max="9750" width="9.5703125" style="5" customWidth="1"/>
    <col min="9751" max="9752" width="10.42578125" style="5" customWidth="1"/>
    <col min="9753" max="9753" width="9.85546875" style="5" customWidth="1"/>
    <col min="9754" max="9754" width="9.140625" style="5"/>
    <col min="9755" max="9755" width="10.42578125" style="5" customWidth="1"/>
    <col min="9756" max="9984" width="9.140625" style="5"/>
    <col min="9985" max="9985" width="25.85546875" style="5" customWidth="1"/>
    <col min="9986" max="9986" width="10.5703125" style="5" customWidth="1"/>
    <col min="9987" max="9987" width="4.42578125" style="5" customWidth="1"/>
    <col min="9988" max="9988" width="11.28515625" style="5" customWidth="1"/>
    <col min="9989" max="9989" width="5.85546875" style="5" customWidth="1"/>
    <col min="9990" max="9990" width="11.28515625" style="5" customWidth="1"/>
    <col min="9991" max="9991" width="8.7109375" style="5" customWidth="1"/>
    <col min="9992" max="9992" width="4.42578125" style="5" customWidth="1"/>
    <col min="9993" max="9993" width="9" style="5" bestFit="1" customWidth="1"/>
    <col min="9994" max="9994" width="10.85546875" style="5" customWidth="1"/>
    <col min="9995" max="9995" width="7.140625" style="5" customWidth="1"/>
    <col min="9996" max="9998" width="9.5703125" style="5" customWidth="1"/>
    <col min="9999" max="10000" width="0" style="5" hidden="1" customWidth="1"/>
    <col min="10001" max="10006" width="9.5703125" style="5" customWidth="1"/>
    <col min="10007" max="10008" width="10.42578125" style="5" customWidth="1"/>
    <col min="10009" max="10009" width="9.85546875" style="5" customWidth="1"/>
    <col min="10010" max="10010" width="9.140625" style="5"/>
    <col min="10011" max="10011" width="10.42578125" style="5" customWidth="1"/>
    <col min="10012" max="10240" width="9.140625" style="5"/>
    <col min="10241" max="10241" width="25.85546875" style="5" customWidth="1"/>
    <col min="10242" max="10242" width="10.5703125" style="5" customWidth="1"/>
    <col min="10243" max="10243" width="4.42578125" style="5" customWidth="1"/>
    <col min="10244" max="10244" width="11.28515625" style="5" customWidth="1"/>
    <col min="10245" max="10245" width="5.85546875" style="5" customWidth="1"/>
    <col min="10246" max="10246" width="11.28515625" style="5" customWidth="1"/>
    <col min="10247" max="10247" width="8.7109375" style="5" customWidth="1"/>
    <col min="10248" max="10248" width="4.42578125" style="5" customWidth="1"/>
    <col min="10249" max="10249" width="9" style="5" bestFit="1" customWidth="1"/>
    <col min="10250" max="10250" width="10.85546875" style="5" customWidth="1"/>
    <col min="10251" max="10251" width="7.140625" style="5" customWidth="1"/>
    <col min="10252" max="10254" width="9.5703125" style="5" customWidth="1"/>
    <col min="10255" max="10256" width="0" style="5" hidden="1" customWidth="1"/>
    <col min="10257" max="10262" width="9.5703125" style="5" customWidth="1"/>
    <col min="10263" max="10264" width="10.42578125" style="5" customWidth="1"/>
    <col min="10265" max="10265" width="9.85546875" style="5" customWidth="1"/>
    <col min="10266" max="10266" width="9.140625" style="5"/>
    <col min="10267" max="10267" width="10.42578125" style="5" customWidth="1"/>
    <col min="10268" max="10496" width="9.140625" style="5"/>
    <col min="10497" max="10497" width="25.85546875" style="5" customWidth="1"/>
    <col min="10498" max="10498" width="10.5703125" style="5" customWidth="1"/>
    <col min="10499" max="10499" width="4.42578125" style="5" customWidth="1"/>
    <col min="10500" max="10500" width="11.28515625" style="5" customWidth="1"/>
    <col min="10501" max="10501" width="5.85546875" style="5" customWidth="1"/>
    <col min="10502" max="10502" width="11.28515625" style="5" customWidth="1"/>
    <col min="10503" max="10503" width="8.7109375" style="5" customWidth="1"/>
    <col min="10504" max="10504" width="4.42578125" style="5" customWidth="1"/>
    <col min="10505" max="10505" width="9" style="5" bestFit="1" customWidth="1"/>
    <col min="10506" max="10506" width="10.85546875" style="5" customWidth="1"/>
    <col min="10507" max="10507" width="7.140625" style="5" customWidth="1"/>
    <col min="10508" max="10510" width="9.5703125" style="5" customWidth="1"/>
    <col min="10511" max="10512" width="0" style="5" hidden="1" customWidth="1"/>
    <col min="10513" max="10518" width="9.5703125" style="5" customWidth="1"/>
    <col min="10519" max="10520" width="10.42578125" style="5" customWidth="1"/>
    <col min="10521" max="10521" width="9.85546875" style="5" customWidth="1"/>
    <col min="10522" max="10522" width="9.140625" style="5"/>
    <col min="10523" max="10523" width="10.42578125" style="5" customWidth="1"/>
    <col min="10524" max="10752" width="9.140625" style="5"/>
    <col min="10753" max="10753" width="25.85546875" style="5" customWidth="1"/>
    <col min="10754" max="10754" width="10.5703125" style="5" customWidth="1"/>
    <col min="10755" max="10755" width="4.42578125" style="5" customWidth="1"/>
    <col min="10756" max="10756" width="11.28515625" style="5" customWidth="1"/>
    <col min="10757" max="10757" width="5.85546875" style="5" customWidth="1"/>
    <col min="10758" max="10758" width="11.28515625" style="5" customWidth="1"/>
    <col min="10759" max="10759" width="8.7109375" style="5" customWidth="1"/>
    <col min="10760" max="10760" width="4.42578125" style="5" customWidth="1"/>
    <col min="10761" max="10761" width="9" style="5" bestFit="1" customWidth="1"/>
    <col min="10762" max="10762" width="10.85546875" style="5" customWidth="1"/>
    <col min="10763" max="10763" width="7.140625" style="5" customWidth="1"/>
    <col min="10764" max="10766" width="9.5703125" style="5" customWidth="1"/>
    <col min="10767" max="10768" width="0" style="5" hidden="1" customWidth="1"/>
    <col min="10769" max="10774" width="9.5703125" style="5" customWidth="1"/>
    <col min="10775" max="10776" width="10.42578125" style="5" customWidth="1"/>
    <col min="10777" max="10777" width="9.85546875" style="5" customWidth="1"/>
    <col min="10778" max="10778" width="9.140625" style="5"/>
    <col min="10779" max="10779" width="10.42578125" style="5" customWidth="1"/>
    <col min="10780" max="11008" width="9.140625" style="5"/>
    <col min="11009" max="11009" width="25.85546875" style="5" customWidth="1"/>
    <col min="11010" max="11010" width="10.5703125" style="5" customWidth="1"/>
    <col min="11011" max="11011" width="4.42578125" style="5" customWidth="1"/>
    <col min="11012" max="11012" width="11.28515625" style="5" customWidth="1"/>
    <col min="11013" max="11013" width="5.85546875" style="5" customWidth="1"/>
    <col min="11014" max="11014" width="11.28515625" style="5" customWidth="1"/>
    <col min="11015" max="11015" width="8.7109375" style="5" customWidth="1"/>
    <col min="11016" max="11016" width="4.42578125" style="5" customWidth="1"/>
    <col min="11017" max="11017" width="9" style="5" bestFit="1" customWidth="1"/>
    <col min="11018" max="11018" width="10.85546875" style="5" customWidth="1"/>
    <col min="11019" max="11019" width="7.140625" style="5" customWidth="1"/>
    <col min="11020" max="11022" width="9.5703125" style="5" customWidth="1"/>
    <col min="11023" max="11024" width="0" style="5" hidden="1" customWidth="1"/>
    <col min="11025" max="11030" width="9.5703125" style="5" customWidth="1"/>
    <col min="11031" max="11032" width="10.42578125" style="5" customWidth="1"/>
    <col min="11033" max="11033" width="9.85546875" style="5" customWidth="1"/>
    <col min="11034" max="11034" width="9.140625" style="5"/>
    <col min="11035" max="11035" width="10.42578125" style="5" customWidth="1"/>
    <col min="11036" max="11264" width="9.140625" style="5"/>
    <col min="11265" max="11265" width="25.85546875" style="5" customWidth="1"/>
    <col min="11266" max="11266" width="10.5703125" style="5" customWidth="1"/>
    <col min="11267" max="11267" width="4.42578125" style="5" customWidth="1"/>
    <col min="11268" max="11268" width="11.28515625" style="5" customWidth="1"/>
    <col min="11269" max="11269" width="5.85546875" style="5" customWidth="1"/>
    <col min="11270" max="11270" width="11.28515625" style="5" customWidth="1"/>
    <col min="11271" max="11271" width="8.7109375" style="5" customWidth="1"/>
    <col min="11272" max="11272" width="4.42578125" style="5" customWidth="1"/>
    <col min="11273" max="11273" width="9" style="5" bestFit="1" customWidth="1"/>
    <col min="11274" max="11274" width="10.85546875" style="5" customWidth="1"/>
    <col min="11275" max="11275" width="7.140625" style="5" customWidth="1"/>
    <col min="11276" max="11278" width="9.5703125" style="5" customWidth="1"/>
    <col min="11279" max="11280" width="0" style="5" hidden="1" customWidth="1"/>
    <col min="11281" max="11286" width="9.5703125" style="5" customWidth="1"/>
    <col min="11287" max="11288" width="10.42578125" style="5" customWidth="1"/>
    <col min="11289" max="11289" width="9.85546875" style="5" customWidth="1"/>
    <col min="11290" max="11290" width="9.140625" style="5"/>
    <col min="11291" max="11291" width="10.42578125" style="5" customWidth="1"/>
    <col min="11292" max="11520" width="9.140625" style="5"/>
    <col min="11521" max="11521" width="25.85546875" style="5" customWidth="1"/>
    <col min="11522" max="11522" width="10.5703125" style="5" customWidth="1"/>
    <col min="11523" max="11523" width="4.42578125" style="5" customWidth="1"/>
    <col min="11524" max="11524" width="11.28515625" style="5" customWidth="1"/>
    <col min="11525" max="11525" width="5.85546875" style="5" customWidth="1"/>
    <col min="11526" max="11526" width="11.28515625" style="5" customWidth="1"/>
    <col min="11527" max="11527" width="8.7109375" style="5" customWidth="1"/>
    <col min="11528" max="11528" width="4.42578125" style="5" customWidth="1"/>
    <col min="11529" max="11529" width="9" style="5" bestFit="1" customWidth="1"/>
    <col min="11530" max="11530" width="10.85546875" style="5" customWidth="1"/>
    <col min="11531" max="11531" width="7.140625" style="5" customWidth="1"/>
    <col min="11532" max="11534" width="9.5703125" style="5" customWidth="1"/>
    <col min="11535" max="11536" width="0" style="5" hidden="1" customWidth="1"/>
    <col min="11537" max="11542" width="9.5703125" style="5" customWidth="1"/>
    <col min="11543" max="11544" width="10.42578125" style="5" customWidth="1"/>
    <col min="11545" max="11545" width="9.85546875" style="5" customWidth="1"/>
    <col min="11546" max="11546" width="9.140625" style="5"/>
    <col min="11547" max="11547" width="10.42578125" style="5" customWidth="1"/>
    <col min="11548" max="11776" width="9.140625" style="5"/>
    <col min="11777" max="11777" width="25.85546875" style="5" customWidth="1"/>
    <col min="11778" max="11778" width="10.5703125" style="5" customWidth="1"/>
    <col min="11779" max="11779" width="4.42578125" style="5" customWidth="1"/>
    <col min="11780" max="11780" width="11.28515625" style="5" customWidth="1"/>
    <col min="11781" max="11781" width="5.85546875" style="5" customWidth="1"/>
    <col min="11782" max="11782" width="11.28515625" style="5" customWidth="1"/>
    <col min="11783" max="11783" width="8.7109375" style="5" customWidth="1"/>
    <col min="11784" max="11784" width="4.42578125" style="5" customWidth="1"/>
    <col min="11785" max="11785" width="9" style="5" bestFit="1" customWidth="1"/>
    <col min="11786" max="11786" width="10.85546875" style="5" customWidth="1"/>
    <col min="11787" max="11787" width="7.140625" style="5" customWidth="1"/>
    <col min="11788" max="11790" width="9.5703125" style="5" customWidth="1"/>
    <col min="11791" max="11792" width="0" style="5" hidden="1" customWidth="1"/>
    <col min="11793" max="11798" width="9.5703125" style="5" customWidth="1"/>
    <col min="11799" max="11800" width="10.42578125" style="5" customWidth="1"/>
    <col min="11801" max="11801" width="9.85546875" style="5" customWidth="1"/>
    <col min="11802" max="11802" width="9.140625" style="5"/>
    <col min="11803" max="11803" width="10.42578125" style="5" customWidth="1"/>
    <col min="11804" max="12032" width="9.140625" style="5"/>
    <col min="12033" max="12033" width="25.85546875" style="5" customWidth="1"/>
    <col min="12034" max="12034" width="10.5703125" style="5" customWidth="1"/>
    <col min="12035" max="12035" width="4.42578125" style="5" customWidth="1"/>
    <col min="12036" max="12036" width="11.28515625" style="5" customWidth="1"/>
    <col min="12037" max="12037" width="5.85546875" style="5" customWidth="1"/>
    <col min="12038" max="12038" width="11.28515625" style="5" customWidth="1"/>
    <col min="12039" max="12039" width="8.7109375" style="5" customWidth="1"/>
    <col min="12040" max="12040" width="4.42578125" style="5" customWidth="1"/>
    <col min="12041" max="12041" width="9" style="5" bestFit="1" customWidth="1"/>
    <col min="12042" max="12042" width="10.85546875" style="5" customWidth="1"/>
    <col min="12043" max="12043" width="7.140625" style="5" customWidth="1"/>
    <col min="12044" max="12046" width="9.5703125" style="5" customWidth="1"/>
    <col min="12047" max="12048" width="0" style="5" hidden="1" customWidth="1"/>
    <col min="12049" max="12054" width="9.5703125" style="5" customWidth="1"/>
    <col min="12055" max="12056" width="10.42578125" style="5" customWidth="1"/>
    <col min="12057" max="12057" width="9.85546875" style="5" customWidth="1"/>
    <col min="12058" max="12058" width="9.140625" style="5"/>
    <col min="12059" max="12059" width="10.42578125" style="5" customWidth="1"/>
    <col min="12060" max="12288" width="9.140625" style="5"/>
    <col min="12289" max="12289" width="25.85546875" style="5" customWidth="1"/>
    <col min="12290" max="12290" width="10.5703125" style="5" customWidth="1"/>
    <col min="12291" max="12291" width="4.42578125" style="5" customWidth="1"/>
    <col min="12292" max="12292" width="11.28515625" style="5" customWidth="1"/>
    <col min="12293" max="12293" width="5.85546875" style="5" customWidth="1"/>
    <col min="12294" max="12294" width="11.28515625" style="5" customWidth="1"/>
    <col min="12295" max="12295" width="8.7109375" style="5" customWidth="1"/>
    <col min="12296" max="12296" width="4.42578125" style="5" customWidth="1"/>
    <col min="12297" max="12297" width="9" style="5" bestFit="1" customWidth="1"/>
    <col min="12298" max="12298" width="10.85546875" style="5" customWidth="1"/>
    <col min="12299" max="12299" width="7.140625" style="5" customWidth="1"/>
    <col min="12300" max="12302" width="9.5703125" style="5" customWidth="1"/>
    <col min="12303" max="12304" width="0" style="5" hidden="1" customWidth="1"/>
    <col min="12305" max="12310" width="9.5703125" style="5" customWidth="1"/>
    <col min="12311" max="12312" width="10.42578125" style="5" customWidth="1"/>
    <col min="12313" max="12313" width="9.85546875" style="5" customWidth="1"/>
    <col min="12314" max="12314" width="9.140625" style="5"/>
    <col min="12315" max="12315" width="10.42578125" style="5" customWidth="1"/>
    <col min="12316" max="12544" width="9.140625" style="5"/>
    <col min="12545" max="12545" width="25.85546875" style="5" customWidth="1"/>
    <col min="12546" max="12546" width="10.5703125" style="5" customWidth="1"/>
    <col min="12547" max="12547" width="4.42578125" style="5" customWidth="1"/>
    <col min="12548" max="12548" width="11.28515625" style="5" customWidth="1"/>
    <col min="12549" max="12549" width="5.85546875" style="5" customWidth="1"/>
    <col min="12550" max="12550" width="11.28515625" style="5" customWidth="1"/>
    <col min="12551" max="12551" width="8.7109375" style="5" customWidth="1"/>
    <col min="12552" max="12552" width="4.42578125" style="5" customWidth="1"/>
    <col min="12553" max="12553" width="9" style="5" bestFit="1" customWidth="1"/>
    <col min="12554" max="12554" width="10.85546875" style="5" customWidth="1"/>
    <col min="12555" max="12555" width="7.140625" style="5" customWidth="1"/>
    <col min="12556" max="12558" width="9.5703125" style="5" customWidth="1"/>
    <col min="12559" max="12560" width="0" style="5" hidden="1" customWidth="1"/>
    <col min="12561" max="12566" width="9.5703125" style="5" customWidth="1"/>
    <col min="12567" max="12568" width="10.42578125" style="5" customWidth="1"/>
    <col min="12569" max="12569" width="9.85546875" style="5" customWidth="1"/>
    <col min="12570" max="12570" width="9.140625" style="5"/>
    <col min="12571" max="12571" width="10.42578125" style="5" customWidth="1"/>
    <col min="12572" max="12800" width="9.140625" style="5"/>
    <col min="12801" max="12801" width="25.85546875" style="5" customWidth="1"/>
    <col min="12802" max="12802" width="10.5703125" style="5" customWidth="1"/>
    <col min="12803" max="12803" width="4.42578125" style="5" customWidth="1"/>
    <col min="12804" max="12804" width="11.28515625" style="5" customWidth="1"/>
    <col min="12805" max="12805" width="5.85546875" style="5" customWidth="1"/>
    <col min="12806" max="12806" width="11.28515625" style="5" customWidth="1"/>
    <col min="12807" max="12807" width="8.7109375" style="5" customWidth="1"/>
    <col min="12808" max="12808" width="4.42578125" style="5" customWidth="1"/>
    <col min="12809" max="12809" width="9" style="5" bestFit="1" customWidth="1"/>
    <col min="12810" max="12810" width="10.85546875" style="5" customWidth="1"/>
    <col min="12811" max="12811" width="7.140625" style="5" customWidth="1"/>
    <col min="12812" max="12814" width="9.5703125" style="5" customWidth="1"/>
    <col min="12815" max="12816" width="0" style="5" hidden="1" customWidth="1"/>
    <col min="12817" max="12822" width="9.5703125" style="5" customWidth="1"/>
    <col min="12823" max="12824" width="10.42578125" style="5" customWidth="1"/>
    <col min="12825" max="12825" width="9.85546875" style="5" customWidth="1"/>
    <col min="12826" max="12826" width="9.140625" style="5"/>
    <col min="12827" max="12827" width="10.42578125" style="5" customWidth="1"/>
    <col min="12828" max="13056" width="9.140625" style="5"/>
    <col min="13057" max="13057" width="25.85546875" style="5" customWidth="1"/>
    <col min="13058" max="13058" width="10.5703125" style="5" customWidth="1"/>
    <col min="13059" max="13059" width="4.42578125" style="5" customWidth="1"/>
    <col min="13060" max="13060" width="11.28515625" style="5" customWidth="1"/>
    <col min="13061" max="13061" width="5.85546875" style="5" customWidth="1"/>
    <col min="13062" max="13062" width="11.28515625" style="5" customWidth="1"/>
    <col min="13063" max="13063" width="8.7109375" style="5" customWidth="1"/>
    <col min="13064" max="13064" width="4.42578125" style="5" customWidth="1"/>
    <col min="13065" max="13065" width="9" style="5" bestFit="1" customWidth="1"/>
    <col min="13066" max="13066" width="10.85546875" style="5" customWidth="1"/>
    <col min="13067" max="13067" width="7.140625" style="5" customWidth="1"/>
    <col min="13068" max="13070" width="9.5703125" style="5" customWidth="1"/>
    <col min="13071" max="13072" width="0" style="5" hidden="1" customWidth="1"/>
    <col min="13073" max="13078" width="9.5703125" style="5" customWidth="1"/>
    <col min="13079" max="13080" width="10.42578125" style="5" customWidth="1"/>
    <col min="13081" max="13081" width="9.85546875" style="5" customWidth="1"/>
    <col min="13082" max="13082" width="9.140625" style="5"/>
    <col min="13083" max="13083" width="10.42578125" style="5" customWidth="1"/>
    <col min="13084" max="13312" width="9.140625" style="5"/>
    <col min="13313" max="13313" width="25.85546875" style="5" customWidth="1"/>
    <col min="13314" max="13314" width="10.5703125" style="5" customWidth="1"/>
    <col min="13315" max="13315" width="4.42578125" style="5" customWidth="1"/>
    <col min="13316" max="13316" width="11.28515625" style="5" customWidth="1"/>
    <col min="13317" max="13317" width="5.85546875" style="5" customWidth="1"/>
    <col min="13318" max="13318" width="11.28515625" style="5" customWidth="1"/>
    <col min="13319" max="13319" width="8.7109375" style="5" customWidth="1"/>
    <col min="13320" max="13320" width="4.42578125" style="5" customWidth="1"/>
    <col min="13321" max="13321" width="9" style="5" bestFit="1" customWidth="1"/>
    <col min="13322" max="13322" width="10.85546875" style="5" customWidth="1"/>
    <col min="13323" max="13323" width="7.140625" style="5" customWidth="1"/>
    <col min="13324" max="13326" width="9.5703125" style="5" customWidth="1"/>
    <col min="13327" max="13328" width="0" style="5" hidden="1" customWidth="1"/>
    <col min="13329" max="13334" width="9.5703125" style="5" customWidth="1"/>
    <col min="13335" max="13336" width="10.42578125" style="5" customWidth="1"/>
    <col min="13337" max="13337" width="9.85546875" style="5" customWidth="1"/>
    <col min="13338" max="13338" width="9.140625" style="5"/>
    <col min="13339" max="13339" width="10.42578125" style="5" customWidth="1"/>
    <col min="13340" max="13568" width="9.140625" style="5"/>
    <col min="13569" max="13569" width="25.85546875" style="5" customWidth="1"/>
    <col min="13570" max="13570" width="10.5703125" style="5" customWidth="1"/>
    <col min="13571" max="13571" width="4.42578125" style="5" customWidth="1"/>
    <col min="13572" max="13572" width="11.28515625" style="5" customWidth="1"/>
    <col min="13573" max="13573" width="5.85546875" style="5" customWidth="1"/>
    <col min="13574" max="13574" width="11.28515625" style="5" customWidth="1"/>
    <col min="13575" max="13575" width="8.7109375" style="5" customWidth="1"/>
    <col min="13576" max="13576" width="4.42578125" style="5" customWidth="1"/>
    <col min="13577" max="13577" width="9" style="5" bestFit="1" customWidth="1"/>
    <col min="13578" max="13578" width="10.85546875" style="5" customWidth="1"/>
    <col min="13579" max="13579" width="7.140625" style="5" customWidth="1"/>
    <col min="13580" max="13582" width="9.5703125" style="5" customWidth="1"/>
    <col min="13583" max="13584" width="0" style="5" hidden="1" customWidth="1"/>
    <col min="13585" max="13590" width="9.5703125" style="5" customWidth="1"/>
    <col min="13591" max="13592" width="10.42578125" style="5" customWidth="1"/>
    <col min="13593" max="13593" width="9.85546875" style="5" customWidth="1"/>
    <col min="13594" max="13594" width="9.140625" style="5"/>
    <col min="13595" max="13595" width="10.42578125" style="5" customWidth="1"/>
    <col min="13596" max="13824" width="9.140625" style="5"/>
    <col min="13825" max="13825" width="25.85546875" style="5" customWidth="1"/>
    <col min="13826" max="13826" width="10.5703125" style="5" customWidth="1"/>
    <col min="13827" max="13827" width="4.42578125" style="5" customWidth="1"/>
    <col min="13828" max="13828" width="11.28515625" style="5" customWidth="1"/>
    <col min="13829" max="13829" width="5.85546875" style="5" customWidth="1"/>
    <col min="13830" max="13830" width="11.28515625" style="5" customWidth="1"/>
    <col min="13831" max="13831" width="8.7109375" style="5" customWidth="1"/>
    <col min="13832" max="13832" width="4.42578125" style="5" customWidth="1"/>
    <col min="13833" max="13833" width="9" style="5" bestFit="1" customWidth="1"/>
    <col min="13834" max="13834" width="10.85546875" style="5" customWidth="1"/>
    <col min="13835" max="13835" width="7.140625" style="5" customWidth="1"/>
    <col min="13836" max="13838" width="9.5703125" style="5" customWidth="1"/>
    <col min="13839" max="13840" width="0" style="5" hidden="1" customWidth="1"/>
    <col min="13841" max="13846" width="9.5703125" style="5" customWidth="1"/>
    <col min="13847" max="13848" width="10.42578125" style="5" customWidth="1"/>
    <col min="13849" max="13849" width="9.85546875" style="5" customWidth="1"/>
    <col min="13850" max="13850" width="9.140625" style="5"/>
    <col min="13851" max="13851" width="10.42578125" style="5" customWidth="1"/>
    <col min="13852" max="14080" width="9.140625" style="5"/>
    <col min="14081" max="14081" width="25.85546875" style="5" customWidth="1"/>
    <col min="14082" max="14082" width="10.5703125" style="5" customWidth="1"/>
    <col min="14083" max="14083" width="4.42578125" style="5" customWidth="1"/>
    <col min="14084" max="14084" width="11.28515625" style="5" customWidth="1"/>
    <col min="14085" max="14085" width="5.85546875" style="5" customWidth="1"/>
    <col min="14086" max="14086" width="11.28515625" style="5" customWidth="1"/>
    <col min="14087" max="14087" width="8.7109375" style="5" customWidth="1"/>
    <col min="14088" max="14088" width="4.42578125" style="5" customWidth="1"/>
    <col min="14089" max="14089" width="9" style="5" bestFit="1" customWidth="1"/>
    <col min="14090" max="14090" width="10.85546875" style="5" customWidth="1"/>
    <col min="14091" max="14091" width="7.140625" style="5" customWidth="1"/>
    <col min="14092" max="14094" width="9.5703125" style="5" customWidth="1"/>
    <col min="14095" max="14096" width="0" style="5" hidden="1" customWidth="1"/>
    <col min="14097" max="14102" width="9.5703125" style="5" customWidth="1"/>
    <col min="14103" max="14104" width="10.42578125" style="5" customWidth="1"/>
    <col min="14105" max="14105" width="9.85546875" style="5" customWidth="1"/>
    <col min="14106" max="14106" width="9.140625" style="5"/>
    <col min="14107" max="14107" width="10.42578125" style="5" customWidth="1"/>
    <col min="14108" max="14336" width="9.140625" style="5"/>
    <col min="14337" max="14337" width="25.85546875" style="5" customWidth="1"/>
    <col min="14338" max="14338" width="10.5703125" style="5" customWidth="1"/>
    <col min="14339" max="14339" width="4.42578125" style="5" customWidth="1"/>
    <col min="14340" max="14340" width="11.28515625" style="5" customWidth="1"/>
    <col min="14341" max="14341" width="5.85546875" style="5" customWidth="1"/>
    <col min="14342" max="14342" width="11.28515625" style="5" customWidth="1"/>
    <col min="14343" max="14343" width="8.7109375" style="5" customWidth="1"/>
    <col min="14344" max="14344" width="4.42578125" style="5" customWidth="1"/>
    <col min="14345" max="14345" width="9" style="5" bestFit="1" customWidth="1"/>
    <col min="14346" max="14346" width="10.85546875" style="5" customWidth="1"/>
    <col min="14347" max="14347" width="7.140625" style="5" customWidth="1"/>
    <col min="14348" max="14350" width="9.5703125" style="5" customWidth="1"/>
    <col min="14351" max="14352" width="0" style="5" hidden="1" customWidth="1"/>
    <col min="14353" max="14358" width="9.5703125" style="5" customWidth="1"/>
    <col min="14359" max="14360" width="10.42578125" style="5" customWidth="1"/>
    <col min="14361" max="14361" width="9.85546875" style="5" customWidth="1"/>
    <col min="14362" max="14362" width="9.140625" style="5"/>
    <col min="14363" max="14363" width="10.42578125" style="5" customWidth="1"/>
    <col min="14364" max="14592" width="9.140625" style="5"/>
    <col min="14593" max="14593" width="25.85546875" style="5" customWidth="1"/>
    <col min="14594" max="14594" width="10.5703125" style="5" customWidth="1"/>
    <col min="14595" max="14595" width="4.42578125" style="5" customWidth="1"/>
    <col min="14596" max="14596" width="11.28515625" style="5" customWidth="1"/>
    <col min="14597" max="14597" width="5.85546875" style="5" customWidth="1"/>
    <col min="14598" max="14598" width="11.28515625" style="5" customWidth="1"/>
    <col min="14599" max="14599" width="8.7109375" style="5" customWidth="1"/>
    <col min="14600" max="14600" width="4.42578125" style="5" customWidth="1"/>
    <col min="14601" max="14601" width="9" style="5" bestFit="1" customWidth="1"/>
    <col min="14602" max="14602" width="10.85546875" style="5" customWidth="1"/>
    <col min="14603" max="14603" width="7.140625" style="5" customWidth="1"/>
    <col min="14604" max="14606" width="9.5703125" style="5" customWidth="1"/>
    <col min="14607" max="14608" width="0" style="5" hidden="1" customWidth="1"/>
    <col min="14609" max="14614" width="9.5703125" style="5" customWidth="1"/>
    <col min="14615" max="14616" width="10.42578125" style="5" customWidth="1"/>
    <col min="14617" max="14617" width="9.85546875" style="5" customWidth="1"/>
    <col min="14618" max="14618" width="9.140625" style="5"/>
    <col min="14619" max="14619" width="10.42578125" style="5" customWidth="1"/>
    <col min="14620" max="14848" width="9.140625" style="5"/>
    <col min="14849" max="14849" width="25.85546875" style="5" customWidth="1"/>
    <col min="14850" max="14850" width="10.5703125" style="5" customWidth="1"/>
    <col min="14851" max="14851" width="4.42578125" style="5" customWidth="1"/>
    <col min="14852" max="14852" width="11.28515625" style="5" customWidth="1"/>
    <col min="14853" max="14853" width="5.85546875" style="5" customWidth="1"/>
    <col min="14854" max="14854" width="11.28515625" style="5" customWidth="1"/>
    <col min="14855" max="14855" width="8.7109375" style="5" customWidth="1"/>
    <col min="14856" max="14856" width="4.42578125" style="5" customWidth="1"/>
    <col min="14857" max="14857" width="9" style="5" bestFit="1" customWidth="1"/>
    <col min="14858" max="14858" width="10.85546875" style="5" customWidth="1"/>
    <col min="14859" max="14859" width="7.140625" style="5" customWidth="1"/>
    <col min="14860" max="14862" width="9.5703125" style="5" customWidth="1"/>
    <col min="14863" max="14864" width="0" style="5" hidden="1" customWidth="1"/>
    <col min="14865" max="14870" width="9.5703125" style="5" customWidth="1"/>
    <col min="14871" max="14872" width="10.42578125" style="5" customWidth="1"/>
    <col min="14873" max="14873" width="9.85546875" style="5" customWidth="1"/>
    <col min="14874" max="14874" width="9.140625" style="5"/>
    <col min="14875" max="14875" width="10.42578125" style="5" customWidth="1"/>
    <col min="14876" max="15104" width="9.140625" style="5"/>
    <col min="15105" max="15105" width="25.85546875" style="5" customWidth="1"/>
    <col min="15106" max="15106" width="10.5703125" style="5" customWidth="1"/>
    <col min="15107" max="15107" width="4.42578125" style="5" customWidth="1"/>
    <col min="15108" max="15108" width="11.28515625" style="5" customWidth="1"/>
    <col min="15109" max="15109" width="5.85546875" style="5" customWidth="1"/>
    <col min="15110" max="15110" width="11.28515625" style="5" customWidth="1"/>
    <col min="15111" max="15111" width="8.7109375" style="5" customWidth="1"/>
    <col min="15112" max="15112" width="4.42578125" style="5" customWidth="1"/>
    <col min="15113" max="15113" width="9" style="5" bestFit="1" customWidth="1"/>
    <col min="15114" max="15114" width="10.85546875" style="5" customWidth="1"/>
    <col min="15115" max="15115" width="7.140625" style="5" customWidth="1"/>
    <col min="15116" max="15118" width="9.5703125" style="5" customWidth="1"/>
    <col min="15119" max="15120" width="0" style="5" hidden="1" customWidth="1"/>
    <col min="15121" max="15126" width="9.5703125" style="5" customWidth="1"/>
    <col min="15127" max="15128" width="10.42578125" style="5" customWidth="1"/>
    <col min="15129" max="15129" width="9.85546875" style="5" customWidth="1"/>
    <col min="15130" max="15130" width="9.140625" style="5"/>
    <col min="15131" max="15131" width="10.42578125" style="5" customWidth="1"/>
    <col min="15132" max="15360" width="9.140625" style="5"/>
    <col min="15361" max="15361" width="25.85546875" style="5" customWidth="1"/>
    <col min="15362" max="15362" width="10.5703125" style="5" customWidth="1"/>
    <col min="15363" max="15363" width="4.42578125" style="5" customWidth="1"/>
    <col min="15364" max="15364" width="11.28515625" style="5" customWidth="1"/>
    <col min="15365" max="15365" width="5.85546875" style="5" customWidth="1"/>
    <col min="15366" max="15366" width="11.28515625" style="5" customWidth="1"/>
    <col min="15367" max="15367" width="8.7109375" style="5" customWidth="1"/>
    <col min="15368" max="15368" width="4.42578125" style="5" customWidth="1"/>
    <col min="15369" max="15369" width="9" style="5" bestFit="1" customWidth="1"/>
    <col min="15370" max="15370" width="10.85546875" style="5" customWidth="1"/>
    <col min="15371" max="15371" width="7.140625" style="5" customWidth="1"/>
    <col min="15372" max="15374" width="9.5703125" style="5" customWidth="1"/>
    <col min="15375" max="15376" width="0" style="5" hidden="1" customWidth="1"/>
    <col min="15377" max="15382" width="9.5703125" style="5" customWidth="1"/>
    <col min="15383" max="15384" width="10.42578125" style="5" customWidth="1"/>
    <col min="15385" max="15385" width="9.85546875" style="5" customWidth="1"/>
    <col min="15386" max="15386" width="9.140625" style="5"/>
    <col min="15387" max="15387" width="10.42578125" style="5" customWidth="1"/>
    <col min="15388" max="15616" width="9.140625" style="5"/>
    <col min="15617" max="15617" width="25.85546875" style="5" customWidth="1"/>
    <col min="15618" max="15618" width="10.5703125" style="5" customWidth="1"/>
    <col min="15619" max="15619" width="4.42578125" style="5" customWidth="1"/>
    <col min="15620" max="15620" width="11.28515625" style="5" customWidth="1"/>
    <col min="15621" max="15621" width="5.85546875" style="5" customWidth="1"/>
    <col min="15622" max="15622" width="11.28515625" style="5" customWidth="1"/>
    <col min="15623" max="15623" width="8.7109375" style="5" customWidth="1"/>
    <col min="15624" max="15624" width="4.42578125" style="5" customWidth="1"/>
    <col min="15625" max="15625" width="9" style="5" bestFit="1" customWidth="1"/>
    <col min="15626" max="15626" width="10.85546875" style="5" customWidth="1"/>
    <col min="15627" max="15627" width="7.140625" style="5" customWidth="1"/>
    <col min="15628" max="15630" width="9.5703125" style="5" customWidth="1"/>
    <col min="15631" max="15632" width="0" style="5" hidden="1" customWidth="1"/>
    <col min="15633" max="15638" width="9.5703125" style="5" customWidth="1"/>
    <col min="15639" max="15640" width="10.42578125" style="5" customWidth="1"/>
    <col min="15641" max="15641" width="9.85546875" style="5" customWidth="1"/>
    <col min="15642" max="15642" width="9.140625" style="5"/>
    <col min="15643" max="15643" width="10.42578125" style="5" customWidth="1"/>
    <col min="15644" max="15872" width="9.140625" style="5"/>
    <col min="15873" max="15873" width="25.85546875" style="5" customWidth="1"/>
    <col min="15874" max="15874" width="10.5703125" style="5" customWidth="1"/>
    <col min="15875" max="15875" width="4.42578125" style="5" customWidth="1"/>
    <col min="15876" max="15876" width="11.28515625" style="5" customWidth="1"/>
    <col min="15877" max="15877" width="5.85546875" style="5" customWidth="1"/>
    <col min="15878" max="15878" width="11.28515625" style="5" customWidth="1"/>
    <col min="15879" max="15879" width="8.7109375" style="5" customWidth="1"/>
    <col min="15880" max="15880" width="4.42578125" style="5" customWidth="1"/>
    <col min="15881" max="15881" width="9" style="5" bestFit="1" customWidth="1"/>
    <col min="15882" max="15882" width="10.85546875" style="5" customWidth="1"/>
    <col min="15883" max="15883" width="7.140625" style="5" customWidth="1"/>
    <col min="15884" max="15886" width="9.5703125" style="5" customWidth="1"/>
    <col min="15887" max="15888" width="0" style="5" hidden="1" customWidth="1"/>
    <col min="15889" max="15894" width="9.5703125" style="5" customWidth="1"/>
    <col min="15895" max="15896" width="10.42578125" style="5" customWidth="1"/>
    <col min="15897" max="15897" width="9.85546875" style="5" customWidth="1"/>
    <col min="15898" max="15898" width="9.140625" style="5"/>
    <col min="15899" max="15899" width="10.42578125" style="5" customWidth="1"/>
    <col min="15900" max="16128" width="9.140625" style="5"/>
    <col min="16129" max="16129" width="25.85546875" style="5" customWidth="1"/>
    <col min="16130" max="16130" width="10.5703125" style="5" customWidth="1"/>
    <col min="16131" max="16131" width="4.42578125" style="5" customWidth="1"/>
    <col min="16132" max="16132" width="11.28515625" style="5" customWidth="1"/>
    <col min="16133" max="16133" width="5.85546875" style="5" customWidth="1"/>
    <col min="16134" max="16134" width="11.28515625" style="5" customWidth="1"/>
    <col min="16135" max="16135" width="8.7109375" style="5" customWidth="1"/>
    <col min="16136" max="16136" width="4.42578125" style="5" customWidth="1"/>
    <col min="16137" max="16137" width="9" style="5" bestFit="1" customWidth="1"/>
    <col min="16138" max="16138" width="10.85546875" style="5" customWidth="1"/>
    <col min="16139" max="16139" width="7.140625" style="5" customWidth="1"/>
    <col min="16140" max="16142" width="9.5703125" style="5" customWidth="1"/>
    <col min="16143" max="16144" width="0" style="5" hidden="1" customWidth="1"/>
    <col min="16145" max="16150" width="9.5703125" style="5" customWidth="1"/>
    <col min="16151" max="16152" width="10.42578125" style="5" customWidth="1"/>
    <col min="16153" max="16153" width="9.85546875" style="5" customWidth="1"/>
    <col min="16154" max="16154" width="9.140625" style="5"/>
    <col min="16155" max="16155" width="10.42578125" style="5" customWidth="1"/>
    <col min="16156" max="16384" width="9.140625" style="5"/>
  </cols>
  <sheetData>
    <row r="1" spans="1:27" x14ac:dyDescent="0.2">
      <c r="A1" s="1" t="s">
        <v>0</v>
      </c>
      <c r="B1" s="2"/>
      <c r="C1" s="2"/>
      <c r="D1" s="2"/>
      <c r="E1" s="2"/>
      <c r="F1" s="2"/>
      <c r="G1" s="3"/>
      <c r="H1" s="2"/>
      <c r="I1" s="2"/>
      <c r="J1" s="1" t="s">
        <v>58</v>
      </c>
      <c r="K1" s="2"/>
      <c r="L1" s="2"/>
      <c r="M1" s="2"/>
      <c r="N1" s="2"/>
      <c r="O1" s="2"/>
      <c r="P1" s="2"/>
      <c r="Q1" s="2"/>
      <c r="R1" s="2"/>
      <c r="S1" s="2"/>
      <c r="T1" s="2"/>
      <c r="U1" s="2"/>
      <c r="V1" s="2"/>
      <c r="W1" s="4"/>
      <c r="X1" s="4"/>
      <c r="Y1" s="4"/>
      <c r="Z1" s="4"/>
      <c r="AA1" s="4"/>
    </row>
    <row r="2" spans="1:27" x14ac:dyDescent="0.2">
      <c r="A2" s="6" t="s">
        <v>1</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"&amp;YEAR(A21)</f>
        <v>For the Year Ended April 2019</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81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3</v>
      </c>
      <c r="G5" s="11"/>
      <c r="H5" s="11"/>
      <c r="I5" s="11"/>
      <c r="J5" s="11"/>
      <c r="K5" s="11"/>
      <c r="L5" s="2"/>
      <c r="M5" s="2"/>
      <c r="N5" s="2"/>
      <c r="O5" s="114" t="str">
        <f>"Total "&amp;F5</f>
        <v>Total Commodity</v>
      </c>
      <c r="P5" s="115"/>
      <c r="Q5" s="2"/>
      <c r="R5" s="2"/>
      <c r="S5" s="2"/>
      <c r="T5" s="2"/>
      <c r="U5" s="2"/>
      <c r="V5" s="13"/>
      <c r="W5" s="14"/>
      <c r="X5" s="14"/>
      <c r="Y5" s="14"/>
      <c r="AA5" s="14"/>
    </row>
    <row r="6" spans="1:27" s="16" customFormat="1" ht="11.25" x14ac:dyDescent="0.2">
      <c r="A6" s="15"/>
      <c r="B6" s="12"/>
      <c r="C6" s="12"/>
      <c r="D6" s="12" t="s">
        <v>3</v>
      </c>
      <c r="E6" s="12"/>
      <c r="F6" s="12" t="s">
        <v>4</v>
      </c>
      <c r="G6" s="12"/>
      <c r="H6" s="12"/>
      <c r="I6" s="12"/>
      <c r="J6" s="12"/>
      <c r="K6" s="12"/>
      <c r="O6" s="116" t="str">
        <f>+F6</f>
        <v>Revenue</v>
      </c>
      <c r="P6" s="117"/>
    </row>
    <row r="7" spans="1:27" s="16" customFormat="1" ht="11.25" x14ac:dyDescent="0.2">
      <c r="A7" s="15" t="s">
        <v>6</v>
      </c>
      <c r="B7" s="12" t="s">
        <v>82</v>
      </c>
      <c r="C7" s="12"/>
      <c r="D7" s="12" t="s">
        <v>4</v>
      </c>
      <c r="E7" s="12"/>
      <c r="F7" s="12" t="s">
        <v>83</v>
      </c>
      <c r="G7" s="12"/>
      <c r="H7" s="12"/>
      <c r="I7" s="12"/>
      <c r="J7" s="12" t="s">
        <v>84</v>
      </c>
      <c r="K7" s="12"/>
      <c r="O7" s="116" t="str">
        <f>+F7</f>
        <v>per Yard</v>
      </c>
      <c r="P7" s="117"/>
    </row>
    <row r="8" spans="1:27" s="16" customFormat="1" ht="11.25" x14ac:dyDescent="0.2">
      <c r="A8" s="372">
        <f>+'Multi_Family 181017'!C6</f>
        <v>43251</v>
      </c>
      <c r="B8" s="358">
        <v>326.98</v>
      </c>
      <c r="C8" s="12"/>
      <c r="D8" s="150">
        <f>VLOOKUP(A8,'Value MF 181017'!$A$6:$O$17,15,)</f>
        <v>9.3567883149999176</v>
      </c>
      <c r="E8" s="12"/>
      <c r="F8" s="16">
        <f>ROUND(D8/B8,2)</f>
        <v>0.03</v>
      </c>
      <c r="G8" s="12"/>
      <c r="H8" s="12"/>
      <c r="I8" s="12"/>
      <c r="J8" s="14">
        <f>+B8</f>
        <v>326.98</v>
      </c>
      <c r="K8" s="13">
        <f>YEAR(A8)</f>
        <v>2018</v>
      </c>
      <c r="O8" s="118">
        <f>VLOOKUP(A8,'Value MF 181017'!$A$7:$O$18,13,FALSE)</f>
        <v>18.713576629999835</v>
      </c>
      <c r="P8" s="117"/>
    </row>
    <row r="9" spans="1:27" s="16" customFormat="1" ht="11.25" x14ac:dyDescent="0.2">
      <c r="A9" s="17">
        <f>EOMONTH(A8,1)</f>
        <v>43281</v>
      </c>
      <c r="B9" s="358">
        <v>326.98</v>
      </c>
      <c r="C9" s="22"/>
      <c r="D9" s="150">
        <f>VLOOKUP(A9,'Value MF 181017'!$A$6:$O$17,15,)</f>
        <v>63.962109899999923</v>
      </c>
      <c r="E9" s="14"/>
      <c r="F9" s="16">
        <f>ROUND(D9/B9,2)</f>
        <v>0.2</v>
      </c>
      <c r="G9" s="14"/>
      <c r="H9" s="14"/>
      <c r="I9" s="14"/>
      <c r="J9" s="14">
        <f>+B9</f>
        <v>326.98</v>
      </c>
      <c r="K9" s="13">
        <f>YEAR(A9)</f>
        <v>2018</v>
      </c>
      <c r="O9" s="118">
        <f>VLOOKUP(A9,'Value MF 181017'!$A$7:$O$18,13,FALSE)</f>
        <v>127.92421979999985</v>
      </c>
      <c r="P9" s="117"/>
    </row>
    <row r="10" spans="1:27" s="16" customFormat="1" ht="11.25" x14ac:dyDescent="0.2">
      <c r="A10" s="17">
        <f>EOMONTH(A9,1)</f>
        <v>43312</v>
      </c>
      <c r="B10" s="358">
        <v>388.96</v>
      </c>
      <c r="C10" s="14"/>
      <c r="D10" s="150">
        <f>VLOOKUP(A10,'Value MF 181017'!$A$6:$O$17,15,)</f>
        <v>55.065770694999955</v>
      </c>
      <c r="E10" s="14"/>
      <c r="F10" s="16">
        <f>ROUND(D10/B10,2)</f>
        <v>0.14000000000000001</v>
      </c>
      <c r="G10" s="14"/>
      <c r="H10" s="14"/>
      <c r="I10" s="14"/>
      <c r="J10" s="14">
        <f>+B10</f>
        <v>388.96</v>
      </c>
      <c r="K10" s="13">
        <f>YEAR(A10)</f>
        <v>2018</v>
      </c>
      <c r="O10" s="118">
        <f>VLOOKUP(A10,'Value MF 181017'!$A$7:$O$18,13,FALSE)</f>
        <v>110.13154138999991</v>
      </c>
      <c r="P10" s="117"/>
    </row>
    <row r="11" spans="1:27" s="16" customFormat="1" ht="11.25" x14ac:dyDescent="0.2">
      <c r="A11" s="17" t="s">
        <v>85</v>
      </c>
      <c r="B11" s="23">
        <f>SUM(B8:B10)</f>
        <v>1042.92</v>
      </c>
      <c r="C11" s="22" t="s">
        <v>9</v>
      </c>
      <c r="D11" s="151">
        <f>SUM(D8:D10)</f>
        <v>128.38466890999979</v>
      </c>
      <c r="E11" s="14"/>
      <c r="G11" s="14"/>
      <c r="H11" s="14"/>
      <c r="I11" s="14"/>
      <c r="J11" s="14"/>
      <c r="K11" s="13"/>
      <c r="O11" s="118"/>
      <c r="P11" s="117"/>
    </row>
    <row r="12" spans="1:27" s="16" customFormat="1" ht="11.25" x14ac:dyDescent="0.2">
      <c r="A12" s="17"/>
      <c r="B12" s="14"/>
      <c r="C12" s="14"/>
      <c r="D12" s="73"/>
      <c r="E12" s="14"/>
      <c r="G12" s="14"/>
      <c r="H12" s="14"/>
      <c r="I12" s="14"/>
      <c r="J12" s="14"/>
      <c r="K12" s="13"/>
      <c r="O12" s="118"/>
      <c r="P12" s="117"/>
    </row>
    <row r="13" spans="1:27" s="16" customFormat="1" ht="11.25" x14ac:dyDescent="0.2">
      <c r="A13" s="17">
        <f>EOMONTH(A10,1)</f>
        <v>43343</v>
      </c>
      <c r="B13" s="358">
        <v>386.88</v>
      </c>
      <c r="C13" s="14"/>
      <c r="D13" s="150">
        <f>VLOOKUP(A13,'Value MF 181017'!$A$6:$O$17,15,)</f>
        <v>63.406176344999942</v>
      </c>
      <c r="E13" s="14"/>
      <c r="F13" s="16">
        <f>ROUND(D13/B13,2)</f>
        <v>0.16</v>
      </c>
      <c r="G13" s="24"/>
      <c r="H13" s="14"/>
      <c r="I13" s="14"/>
      <c r="J13" s="14">
        <f t="shared" ref="J13:J21" si="0">+B13</f>
        <v>386.88</v>
      </c>
      <c r="K13" s="13">
        <f t="shared" ref="K13:K21" si="1">YEAR(A13)</f>
        <v>2018</v>
      </c>
      <c r="O13" s="118">
        <f>VLOOKUP(A13,'Value MF 181017'!$A$7:$O$18,13,FALSE)</f>
        <v>126.81235268999988</v>
      </c>
      <c r="P13" s="117"/>
    </row>
    <row r="14" spans="1:27" s="16" customFormat="1" ht="11.25" x14ac:dyDescent="0.2">
      <c r="A14" s="17">
        <f t="shared" ref="A14:A21" si="2">EOMONTH(A13,1)</f>
        <v>43373</v>
      </c>
      <c r="B14" s="358">
        <v>391.43</v>
      </c>
      <c r="C14" s="14"/>
      <c r="D14" s="150">
        <f>VLOOKUP(A14,'Value MF 181017'!$A$6:$O$17,15,)</f>
        <v>65.873599889999952</v>
      </c>
      <c r="E14" s="14"/>
      <c r="F14" s="16">
        <f>ROUND(D14/B14,2)</f>
        <v>0.17</v>
      </c>
      <c r="G14" s="24"/>
      <c r="H14" s="14"/>
      <c r="I14" s="14"/>
      <c r="J14" s="14">
        <f t="shared" si="0"/>
        <v>391.43</v>
      </c>
      <c r="K14" s="13">
        <f t="shared" si="1"/>
        <v>2018</v>
      </c>
      <c r="O14" s="118">
        <f>VLOOKUP(A14,'Value MF 181017'!$A$7:$O$18,13,FALSE)</f>
        <v>131.7471997799999</v>
      </c>
      <c r="P14" s="117"/>
    </row>
    <row r="15" spans="1:27" s="16" customFormat="1" ht="11.25" x14ac:dyDescent="0.2">
      <c r="A15" s="17">
        <f t="shared" si="2"/>
        <v>43404</v>
      </c>
      <c r="B15" s="358">
        <v>391.43</v>
      </c>
      <c r="C15" s="14"/>
      <c r="D15" s="150">
        <f>VLOOKUP(A15,'Value MF 181017'!$A$6:$O$17,15,)</f>
        <v>70.537468319999959</v>
      </c>
      <c r="E15" s="14"/>
      <c r="F15" s="16">
        <f>ROUND(D15/B15,2)</f>
        <v>0.18</v>
      </c>
      <c r="G15" s="24"/>
      <c r="H15" s="14"/>
      <c r="I15" s="14"/>
      <c r="J15" s="14">
        <f t="shared" si="0"/>
        <v>391.43</v>
      </c>
      <c r="K15" s="13">
        <f t="shared" si="1"/>
        <v>2018</v>
      </c>
      <c r="O15" s="118">
        <f>VLOOKUP(A15,'Value MF 181017'!$A$7:$O$18,13,FALSE)</f>
        <v>141.07493663999992</v>
      </c>
      <c r="P15" s="117"/>
    </row>
    <row r="16" spans="1:27" s="16" customFormat="1" ht="11.25" x14ac:dyDescent="0.2">
      <c r="A16" s="17">
        <f t="shared" si="2"/>
        <v>43434</v>
      </c>
      <c r="B16" s="358"/>
      <c r="C16" s="14"/>
      <c r="D16" s="150">
        <f>VLOOKUP(A16,'Value MF 181017'!$A$6:$O$17,15,)</f>
        <v>0</v>
      </c>
      <c r="E16" s="14"/>
      <c r="G16" s="24"/>
      <c r="H16" s="14"/>
      <c r="I16" s="14"/>
      <c r="J16" s="14">
        <f t="shared" si="0"/>
        <v>0</v>
      </c>
      <c r="K16" s="13">
        <f t="shared" si="1"/>
        <v>2018</v>
      </c>
      <c r="O16" s="118">
        <f>VLOOKUP(A16,'Value MF 181017'!$A$7:$O$18,13,FALSE)</f>
        <v>0</v>
      </c>
      <c r="P16" s="117"/>
    </row>
    <row r="17" spans="1:27" s="16" customFormat="1" ht="11.25" x14ac:dyDescent="0.2">
      <c r="A17" s="17">
        <f t="shared" si="2"/>
        <v>43465</v>
      </c>
      <c r="B17" s="358"/>
      <c r="C17" s="14"/>
      <c r="D17" s="150">
        <f>VLOOKUP(A17,'Value MF 181017'!$A$6:$O$17,15,)</f>
        <v>0</v>
      </c>
      <c r="E17" s="14"/>
      <c r="G17" s="24"/>
      <c r="H17" s="14"/>
      <c r="I17" s="14"/>
      <c r="J17" s="14">
        <f t="shared" si="0"/>
        <v>0</v>
      </c>
      <c r="K17" s="13">
        <f t="shared" si="1"/>
        <v>2018</v>
      </c>
      <c r="O17" s="118">
        <f>VLOOKUP(A17,'Value MF 181017'!$A$7:$O$18,13,FALSE)</f>
        <v>0</v>
      </c>
      <c r="P17" s="117"/>
      <c r="X17" s="14"/>
      <c r="Y17" s="14"/>
    </row>
    <row r="18" spans="1:27" s="16" customFormat="1" ht="11.25" x14ac:dyDescent="0.2">
      <c r="A18" s="17">
        <f t="shared" si="2"/>
        <v>43496</v>
      </c>
      <c r="B18" s="358"/>
      <c r="C18" s="14"/>
      <c r="D18" s="150">
        <f>VLOOKUP(A18,'Value MF 181017'!$A$6:$O$17,15,)</f>
        <v>0</v>
      </c>
      <c r="E18" s="14"/>
      <c r="G18" s="24"/>
      <c r="H18" s="14"/>
      <c r="I18" s="14"/>
      <c r="J18" s="14">
        <f t="shared" si="0"/>
        <v>0</v>
      </c>
      <c r="K18" s="13">
        <f t="shared" si="1"/>
        <v>2019</v>
      </c>
      <c r="L18" s="14"/>
      <c r="M18" s="14"/>
      <c r="N18" s="14"/>
      <c r="O18" s="118">
        <f>VLOOKUP(A18,'Value MF 181017'!$A$7:$O$18,13,FALSE)</f>
        <v>0</v>
      </c>
      <c r="P18" s="117"/>
      <c r="Q18" s="14"/>
      <c r="R18" s="14"/>
      <c r="S18" s="14"/>
      <c r="T18" s="14"/>
      <c r="U18" s="14"/>
      <c r="V18" s="14"/>
      <c r="W18" s="14"/>
      <c r="Y18" s="14"/>
      <c r="AA18" s="14"/>
    </row>
    <row r="19" spans="1:27" s="16" customFormat="1" ht="11.25" x14ac:dyDescent="0.2">
      <c r="A19" s="17">
        <f t="shared" si="2"/>
        <v>43524</v>
      </c>
      <c r="B19" s="358"/>
      <c r="C19" s="14"/>
      <c r="D19" s="150">
        <f>VLOOKUP(A19,'Value MF 181017'!$A$6:$O$17,15,)</f>
        <v>0</v>
      </c>
      <c r="E19" s="14"/>
      <c r="G19" s="24"/>
      <c r="H19" s="14"/>
      <c r="I19" s="14"/>
      <c r="J19" s="14">
        <f t="shared" si="0"/>
        <v>0</v>
      </c>
      <c r="K19" s="13">
        <f t="shared" si="1"/>
        <v>2019</v>
      </c>
      <c r="O19" s="118">
        <f>VLOOKUP(A19,'Value MF 181017'!$A$7:$O$18,13,FALSE)</f>
        <v>0</v>
      </c>
      <c r="P19" s="117"/>
    </row>
    <row r="20" spans="1:27" s="16" customFormat="1" ht="11.25" x14ac:dyDescent="0.2">
      <c r="A20" s="17">
        <f t="shared" si="2"/>
        <v>43555</v>
      </c>
      <c r="B20" s="358"/>
      <c r="C20" s="14"/>
      <c r="D20" s="150">
        <f>VLOOKUP(A20,'Value MF 181017'!$A$6:$O$17,15,)</f>
        <v>0</v>
      </c>
      <c r="E20" s="14"/>
      <c r="G20" s="24"/>
      <c r="H20" s="22"/>
      <c r="I20" s="14"/>
      <c r="J20" s="14">
        <f t="shared" si="0"/>
        <v>0</v>
      </c>
      <c r="K20" s="13">
        <f t="shared" si="1"/>
        <v>2019</v>
      </c>
      <c r="O20" s="118">
        <f>VLOOKUP(A20,'Value MF 181017'!$A$7:$O$18,13,FALSE)</f>
        <v>0</v>
      </c>
      <c r="P20" s="34"/>
    </row>
    <row r="21" spans="1:27" s="16" customFormat="1" ht="11.25" x14ac:dyDescent="0.2">
      <c r="A21" s="17">
        <f t="shared" si="2"/>
        <v>43585</v>
      </c>
      <c r="B21" s="358"/>
      <c r="C21" s="14"/>
      <c r="D21" s="150"/>
      <c r="E21" s="14"/>
      <c r="G21" s="24"/>
      <c r="H21" s="22"/>
      <c r="I21" s="14"/>
      <c r="J21" s="14">
        <f t="shared" si="0"/>
        <v>0</v>
      </c>
      <c r="K21" s="13">
        <f t="shared" si="1"/>
        <v>2019</v>
      </c>
      <c r="O21" s="118">
        <f>VLOOKUP(A21,'Value MF 181017'!$A$7:$O$18,13,FALSE)</f>
        <v>0</v>
      </c>
      <c r="P21" s="117"/>
    </row>
    <row r="22" spans="1:27" s="16" customFormat="1" ht="11.25" x14ac:dyDescent="0.2">
      <c r="A22" s="17"/>
      <c r="B22" s="14"/>
      <c r="C22" s="14"/>
      <c r="D22" s="73"/>
      <c r="E22" s="14"/>
      <c r="G22" s="14"/>
      <c r="H22" s="14"/>
      <c r="I22" s="14"/>
      <c r="J22" s="14"/>
      <c r="K22" s="13"/>
      <c r="O22" s="118"/>
      <c r="P22" s="117"/>
    </row>
    <row r="23" spans="1:27" s="16" customFormat="1" ht="11.25" x14ac:dyDescent="0.2">
      <c r="A23" s="17" t="s">
        <v>86</v>
      </c>
      <c r="B23" s="23">
        <f>SUM(B13:B22)</f>
        <v>1169.74</v>
      </c>
      <c r="C23" s="22" t="s">
        <v>10</v>
      </c>
      <c r="D23" s="151">
        <f>SUM(D11:D22)-D11</f>
        <v>199.81724455499989</v>
      </c>
      <c r="E23" s="14"/>
      <c r="G23" s="14"/>
      <c r="H23" s="14"/>
      <c r="I23" s="14"/>
      <c r="J23" s="14"/>
      <c r="K23" s="13"/>
      <c r="O23" s="119"/>
    </row>
    <row r="24" spans="1:27" s="16" customFormat="1" x14ac:dyDescent="0.2">
      <c r="A24" s="5"/>
      <c r="B24" s="5"/>
      <c r="C24" s="5"/>
      <c r="D24" s="152"/>
      <c r="E24" s="5"/>
      <c r="F24" s="5"/>
      <c r="G24" s="5"/>
      <c r="H24" s="5"/>
      <c r="I24" s="5"/>
      <c r="J24" s="5"/>
      <c r="K24" s="5"/>
      <c r="O24" s="119"/>
      <c r="P24" s="120" t="s">
        <v>59</v>
      </c>
    </row>
    <row r="25" spans="1:27" s="16" customFormat="1" ht="13.5" thickBot="1" x14ac:dyDescent="0.25">
      <c r="A25" s="26"/>
      <c r="B25" s="27">
        <f>+B11+B23</f>
        <v>2212.66</v>
      </c>
      <c r="C25" s="22"/>
      <c r="D25" s="153">
        <f>+D11+D23</f>
        <v>328.20191346499968</v>
      </c>
      <c r="E25" s="22" t="s">
        <v>11</v>
      </c>
      <c r="F25" s="24">
        <f>ROUND(D25/B25,3)</f>
        <v>0.14799999999999999</v>
      </c>
      <c r="H25" s="14"/>
      <c r="I25" s="14"/>
      <c r="J25" s="27">
        <f>SUM(J8:J24)</f>
        <v>2212.6600000000003</v>
      </c>
      <c r="K25" s="22" t="s">
        <v>13</v>
      </c>
      <c r="O25" s="119">
        <f>SUM(O8:O24)</f>
        <v>656.40382692999935</v>
      </c>
      <c r="P25" s="121"/>
    </row>
    <row r="26" spans="1:27" s="16" customFormat="1" ht="12" thickTop="1" x14ac:dyDescent="0.2">
      <c r="B26" s="14"/>
      <c r="C26" s="22"/>
      <c r="D26" s="14"/>
      <c r="E26" s="14"/>
      <c r="F26" s="14"/>
      <c r="G26" s="14"/>
      <c r="H26" s="14"/>
      <c r="I26" s="14"/>
      <c r="J26" s="14"/>
      <c r="K26" s="14"/>
      <c r="O26" s="122">
        <f>ROUND(O25/J25,3)</f>
        <v>0.29699999999999999</v>
      </c>
      <c r="P26" s="117" t="s">
        <v>60</v>
      </c>
    </row>
    <row r="27" spans="1:27" s="16" customFormat="1" ht="11.25" x14ac:dyDescent="0.2">
      <c r="A27" s="16" t="s">
        <v>225</v>
      </c>
      <c r="B27" s="14">
        <f>B25</f>
        <v>2212.66</v>
      </c>
      <c r="C27" s="14"/>
      <c r="D27" s="14">
        <f>D25</f>
        <v>328.20191346499968</v>
      </c>
      <c r="E27" s="14"/>
      <c r="F27" s="24">
        <f>D27/B27</f>
        <v>0.14832912126806636</v>
      </c>
      <c r="G27" s="22" t="s">
        <v>12</v>
      </c>
      <c r="H27" s="14"/>
      <c r="I27" s="14"/>
      <c r="J27" s="14"/>
      <c r="K27" s="14"/>
      <c r="O27" s="123">
        <f>+J21</f>
        <v>0</v>
      </c>
      <c r="P27" s="117" t="s">
        <v>61</v>
      </c>
    </row>
    <row r="28" spans="1:27" s="16" customFormat="1" ht="11.25" x14ac:dyDescent="0.2">
      <c r="A28" s="16" t="s">
        <v>224</v>
      </c>
      <c r="B28" s="14"/>
      <c r="C28" s="14"/>
      <c r="D28" s="14"/>
      <c r="E28" s="14"/>
      <c r="F28" s="14"/>
      <c r="G28" s="14"/>
      <c r="H28" s="14"/>
      <c r="I28" s="14"/>
      <c r="J28" s="14"/>
      <c r="K28" s="14"/>
      <c r="O28" s="34"/>
      <c r="P28" s="117"/>
    </row>
    <row r="29" spans="1:27" s="16" customFormat="1" ht="11.25" x14ac:dyDescent="0.2">
      <c r="B29" s="14"/>
      <c r="C29" s="14"/>
      <c r="D29" s="14"/>
      <c r="E29" s="14"/>
      <c r="F29" s="14"/>
      <c r="G29" s="14"/>
      <c r="H29" s="14"/>
      <c r="I29" s="14"/>
      <c r="J29" s="14"/>
      <c r="K29" s="14"/>
      <c r="O29" s="34"/>
      <c r="P29" s="117"/>
    </row>
    <row r="30" spans="1:27" s="16" customFormat="1" ht="11.25" x14ac:dyDescent="0.2">
      <c r="B30" s="14"/>
      <c r="C30" s="14"/>
      <c r="D30" s="14"/>
      <c r="E30" s="14"/>
      <c r="F30" s="14"/>
      <c r="G30" s="14"/>
      <c r="H30" s="14"/>
      <c r="I30" s="14"/>
      <c r="J30" s="14"/>
      <c r="K30" s="14"/>
      <c r="O30" s="34"/>
      <c r="P30" s="117"/>
    </row>
    <row r="31" spans="1:27" s="16" customFormat="1" ht="11.25" x14ac:dyDescent="0.2">
      <c r="B31" s="14"/>
      <c r="C31" s="14"/>
      <c r="D31" s="14"/>
      <c r="E31" s="14"/>
      <c r="F31" s="14"/>
      <c r="G31" s="14"/>
      <c r="H31" s="14"/>
      <c r="I31" s="14"/>
      <c r="J31" s="14"/>
      <c r="K31" s="14"/>
      <c r="O31" s="34"/>
      <c r="P31" s="117"/>
    </row>
    <row r="32" spans="1:27" s="16" customFormat="1" ht="12" thickBot="1" x14ac:dyDescent="0.25">
      <c r="B32" s="28" t="s">
        <v>14</v>
      </c>
      <c r="C32" s="29"/>
      <c r="D32" s="29"/>
      <c r="E32" s="29"/>
      <c r="F32" s="14"/>
      <c r="G32" s="14"/>
      <c r="H32" s="14"/>
      <c r="I32" s="14"/>
      <c r="J32" s="14"/>
      <c r="K32" s="14"/>
      <c r="O32" s="117"/>
      <c r="P32" s="117" t="s">
        <v>62</v>
      </c>
    </row>
    <row r="33" spans="1:27" s="16" customFormat="1" ht="12" thickTop="1" x14ac:dyDescent="0.2">
      <c r="A33" s="6"/>
      <c r="B33" s="30"/>
      <c r="C33" s="14"/>
      <c r="D33" s="14"/>
      <c r="E33" s="14"/>
      <c r="F33" s="14"/>
      <c r="G33" s="14"/>
      <c r="H33" s="14"/>
      <c r="I33" s="14"/>
      <c r="J33" s="14"/>
      <c r="K33" s="14"/>
      <c r="X33" s="14"/>
      <c r="Y33" s="14"/>
    </row>
    <row r="34" spans="1:27" s="16" customFormat="1" ht="11.25" x14ac:dyDescent="0.2">
      <c r="A34" s="8"/>
      <c r="B34" s="30"/>
      <c r="C34" s="14"/>
      <c r="D34" s="14"/>
      <c r="E34" s="14"/>
      <c r="F34" s="31" t="s">
        <v>15</v>
      </c>
      <c r="G34" s="14">
        <f>+D25</f>
        <v>328.20191346499968</v>
      </c>
      <c r="H34" s="22" t="s">
        <v>11</v>
      </c>
      <c r="I34" s="14"/>
      <c r="J34" s="14"/>
      <c r="K34" s="14"/>
    </row>
    <row r="35" spans="1:27" s="13" customFormat="1" ht="11.25" x14ac:dyDescent="0.2">
      <c r="A35" s="32"/>
      <c r="B35" s="30"/>
      <c r="C35" s="14"/>
      <c r="D35" s="14"/>
      <c r="E35" s="14"/>
      <c r="F35" s="14"/>
      <c r="G35" s="14"/>
      <c r="H35" s="22"/>
      <c r="I35" s="14"/>
      <c r="J35" s="14"/>
      <c r="K35" s="14"/>
      <c r="O35" s="16"/>
      <c r="P35" s="16"/>
      <c r="W35" s="14"/>
      <c r="X35" s="16"/>
      <c r="Y35" s="16"/>
      <c r="AA35" s="14"/>
    </row>
    <row r="36" spans="1:27" s="16" customFormat="1" ht="11.25" x14ac:dyDescent="0.2">
      <c r="B36" s="14" t="s">
        <v>87</v>
      </c>
      <c r="C36" s="14"/>
      <c r="D36" s="14"/>
      <c r="E36" s="14"/>
      <c r="F36" s="371">
        <v>0.28999999999999998</v>
      </c>
      <c r="G36" s="14"/>
      <c r="H36" s="14"/>
      <c r="I36" s="14"/>
      <c r="J36" s="14"/>
      <c r="K36" s="14"/>
      <c r="O36" s="16">
        <f>'Value MF 181017'!M20</f>
        <v>656.40382692999935</v>
      </c>
      <c r="P36" s="13" t="s">
        <v>63</v>
      </c>
    </row>
    <row r="37" spans="1:27" s="16" customFormat="1" ht="11.25" x14ac:dyDescent="0.2">
      <c r="B37" s="14"/>
      <c r="C37" s="14" t="str">
        <f>"Customers from "&amp;TEXT($A$8,"mm/yy")&amp;" - "&amp;TEXT($A$10,"mm/yy")</f>
        <v>Customers from 05/18 - 07/18</v>
      </c>
      <c r="D37" s="14"/>
      <c r="E37" s="14"/>
      <c r="F37" s="14">
        <f>SUM(B11)</f>
        <v>1042.92</v>
      </c>
      <c r="G37" s="22" t="s">
        <v>9</v>
      </c>
      <c r="H37" s="14"/>
      <c r="I37" s="14"/>
      <c r="J37" s="14"/>
      <c r="K37" s="14"/>
      <c r="O37" s="16">
        <f>'Value MF 181017'!O20</f>
        <v>328.20191346499968</v>
      </c>
      <c r="P37" s="16" t="s">
        <v>64</v>
      </c>
    </row>
    <row r="38" spans="1:27" s="16" customFormat="1" ht="11.25" x14ac:dyDescent="0.2">
      <c r="B38" s="14"/>
      <c r="C38" s="14" t="s">
        <v>17</v>
      </c>
      <c r="D38" s="14"/>
      <c r="E38" s="14"/>
      <c r="F38" s="23">
        <f>F36*F37</f>
        <v>302.4468</v>
      </c>
      <c r="G38" s="22"/>
      <c r="H38" s="14"/>
      <c r="I38" s="14"/>
      <c r="J38" s="14"/>
      <c r="K38" s="14"/>
      <c r="O38" s="124">
        <f>+O37/O36</f>
        <v>0.5</v>
      </c>
    </row>
    <row r="39" spans="1:27" s="16" customFormat="1" ht="11.25" x14ac:dyDescent="0.2">
      <c r="B39" s="14"/>
      <c r="C39" s="14"/>
      <c r="D39" s="14"/>
      <c r="E39" s="14"/>
      <c r="F39" s="34"/>
      <c r="G39" s="22"/>
      <c r="H39" s="14"/>
      <c r="I39" s="14"/>
      <c r="J39" s="14"/>
      <c r="K39" s="14"/>
    </row>
    <row r="40" spans="1:27" s="16" customFormat="1" ht="11.25" x14ac:dyDescent="0.2">
      <c r="B40" s="14" t="s">
        <v>87</v>
      </c>
      <c r="C40" s="14"/>
      <c r="D40" s="14"/>
      <c r="E40" s="14"/>
      <c r="F40" s="33">
        <v>0.04</v>
      </c>
      <c r="G40" s="14"/>
      <c r="H40" s="14"/>
      <c r="I40" s="14"/>
      <c r="J40" s="14"/>
      <c r="K40" s="14"/>
    </row>
    <row r="41" spans="1:27" s="16" customFormat="1" ht="11.25" x14ac:dyDescent="0.2">
      <c r="B41" s="14"/>
      <c r="C41" s="14" t="str">
        <f>"Customers from "&amp;TEXT($A$13,"mm/yy")&amp;" - "&amp;TEXT($A$21,"mm/yy")</f>
        <v>Customers from 08/18 - 04/19</v>
      </c>
      <c r="D41" s="14"/>
      <c r="E41" s="14"/>
      <c r="F41" s="14">
        <f>B23</f>
        <v>1169.74</v>
      </c>
      <c r="G41" s="22" t="s">
        <v>10</v>
      </c>
      <c r="H41" s="14"/>
      <c r="I41" s="14"/>
      <c r="J41" s="14"/>
      <c r="K41" s="14"/>
    </row>
    <row r="42" spans="1:27" s="16" customFormat="1" ht="11.25" x14ac:dyDescent="0.2">
      <c r="B42" s="14"/>
      <c r="C42" s="14" t="s">
        <v>17</v>
      </c>
      <c r="D42" s="14"/>
      <c r="E42" s="14"/>
      <c r="F42" s="23">
        <f>F40*F41</f>
        <v>46.7896</v>
      </c>
      <c r="G42" s="22"/>
      <c r="H42" s="14"/>
      <c r="I42" s="14"/>
      <c r="J42" s="14"/>
      <c r="K42" s="14"/>
    </row>
    <row r="43" spans="1:27" s="16" customFormat="1" ht="11.25" x14ac:dyDescent="0.2">
      <c r="B43" s="14"/>
      <c r="C43" s="14"/>
      <c r="D43" s="14"/>
      <c r="E43" s="14"/>
      <c r="F43" s="35"/>
      <c r="G43" s="22"/>
      <c r="H43" s="14"/>
      <c r="I43" s="14"/>
      <c r="J43" s="14"/>
      <c r="K43" s="14"/>
    </row>
    <row r="44" spans="1:27" s="16" customFormat="1" ht="12" thickBot="1" x14ac:dyDescent="0.25">
      <c r="B44" s="14"/>
      <c r="C44" s="14" t="s">
        <v>18</v>
      </c>
      <c r="D44" s="14"/>
      <c r="E44" s="14"/>
      <c r="F44" s="27">
        <f>+F38+F42</f>
        <v>349.2364</v>
      </c>
      <c r="G44" s="36">
        <f>+F44</f>
        <v>349.2364</v>
      </c>
      <c r="H44" s="14"/>
      <c r="I44" s="14"/>
      <c r="J44" s="14"/>
      <c r="K44" s="14"/>
    </row>
    <row r="45" spans="1:27" s="16" customFormat="1" ht="12" thickTop="1" x14ac:dyDescent="0.2">
      <c r="B45" s="14"/>
      <c r="C45" s="14"/>
      <c r="D45" s="14"/>
      <c r="E45" s="14"/>
      <c r="F45" s="14"/>
      <c r="G45" s="14"/>
      <c r="H45" s="14"/>
      <c r="I45" s="14"/>
      <c r="J45" s="14"/>
      <c r="K45" s="14"/>
    </row>
    <row r="46" spans="1:27" s="16" customFormat="1" ht="11.25" x14ac:dyDescent="0.2">
      <c r="B46" s="14"/>
      <c r="C46" s="14"/>
      <c r="D46" s="14"/>
      <c r="E46" s="14"/>
      <c r="F46" s="14"/>
      <c r="G46" s="14"/>
      <c r="H46" s="14"/>
      <c r="I46" s="14"/>
      <c r="J46" s="14"/>
      <c r="K46" s="14"/>
    </row>
    <row r="47" spans="1:27" s="16" customFormat="1" ht="12" thickBot="1" x14ac:dyDescent="0.25">
      <c r="B47" s="14"/>
      <c r="C47" s="14"/>
      <c r="D47" s="14"/>
      <c r="E47" s="14"/>
      <c r="F47" s="31" t="str">
        <f>IF(G47&lt;=0,"Excess","Deficient")&amp;" Commodity Credits"</f>
        <v>Excess Commodity Credits</v>
      </c>
      <c r="G47" s="37">
        <f>+G34-G44</f>
        <v>-21.034486535000326</v>
      </c>
      <c r="H47" s="14"/>
      <c r="I47" s="14"/>
      <c r="J47" s="14"/>
      <c r="K47" s="14"/>
    </row>
    <row r="48" spans="1:27" s="16" customFormat="1" ht="12" thickTop="1" x14ac:dyDescent="0.2">
      <c r="B48" s="14"/>
      <c r="C48" s="14"/>
      <c r="D48" s="14"/>
      <c r="E48" s="14"/>
      <c r="F48" s="14"/>
      <c r="G48" s="14"/>
      <c r="H48" s="14"/>
      <c r="I48" s="14"/>
      <c r="J48" s="14"/>
      <c r="K48" s="14"/>
      <c r="Y48" s="14"/>
    </row>
    <row r="49" spans="1:27" s="16" customFormat="1" ht="11.25" x14ac:dyDescent="0.2">
      <c r="B49" s="14"/>
      <c r="C49" s="14"/>
      <c r="D49" s="14"/>
      <c r="E49" s="14"/>
      <c r="F49" s="14"/>
      <c r="G49" s="14"/>
      <c r="H49" s="14"/>
      <c r="I49" s="14"/>
      <c r="J49" s="14"/>
      <c r="K49" s="14"/>
    </row>
    <row r="50" spans="1:27" s="16" customFormat="1" ht="12" thickBot="1" x14ac:dyDescent="0.25">
      <c r="B50" s="28" t="s">
        <v>231</v>
      </c>
      <c r="C50" s="29"/>
      <c r="D50" s="29"/>
      <c r="E50" s="29"/>
      <c r="F50" s="29"/>
      <c r="G50" s="14"/>
      <c r="H50" s="14"/>
      <c r="I50" s="14"/>
      <c r="J50" s="14"/>
      <c r="K50" s="14"/>
    </row>
    <row r="51" spans="1:27" s="16" customFormat="1" ht="12" thickTop="1" x14ac:dyDescent="0.2">
      <c r="B51" s="30"/>
      <c r="C51" s="14"/>
      <c r="D51" s="14"/>
      <c r="E51" s="14"/>
      <c r="F51" s="14"/>
      <c r="G51" s="14"/>
      <c r="H51" s="14"/>
      <c r="I51" s="14"/>
      <c r="J51" s="14"/>
      <c r="K51" s="14"/>
      <c r="L51" s="14"/>
      <c r="M51" s="14"/>
      <c r="N51" s="14"/>
      <c r="O51" s="14"/>
      <c r="P51" s="14"/>
      <c r="Q51" s="14"/>
      <c r="R51" s="14"/>
      <c r="S51" s="14"/>
      <c r="T51" s="14"/>
      <c r="U51" s="14"/>
      <c r="V51" s="14"/>
      <c r="W51" s="14"/>
      <c r="AA51" s="14"/>
    </row>
    <row r="52" spans="1:27" s="16" customFormat="1" ht="11.25" x14ac:dyDescent="0.2">
      <c r="B52" s="14" t="s">
        <v>230</v>
      </c>
      <c r="C52" s="14"/>
      <c r="D52" s="14"/>
      <c r="E52" s="14"/>
      <c r="F52" s="14"/>
      <c r="G52" s="14"/>
      <c r="H52" s="14"/>
      <c r="I52" s="14"/>
      <c r="J52" s="14"/>
      <c r="K52" s="14"/>
    </row>
    <row r="53" spans="1:27" s="16" customFormat="1" ht="11.25" x14ac:dyDescent="0.2">
      <c r="B53" s="14"/>
      <c r="C53" s="14"/>
      <c r="D53" s="14"/>
      <c r="E53" s="14"/>
      <c r="F53" s="31" t="s">
        <v>229</v>
      </c>
      <c r="G53" s="14">
        <f>+J25</f>
        <v>2212.6600000000003</v>
      </c>
      <c r="H53" s="22" t="s">
        <v>13</v>
      </c>
      <c r="I53" s="14"/>
      <c r="J53" s="14"/>
      <c r="K53" s="14"/>
    </row>
    <row r="54" spans="1:27" s="16" customFormat="1" ht="11.25" x14ac:dyDescent="0.2">
      <c r="B54" s="14"/>
      <c r="C54" s="14"/>
      <c r="D54" s="14"/>
      <c r="E54" s="14"/>
      <c r="F54" s="31" t="str">
        <f>F47</f>
        <v>Excess Commodity Credits</v>
      </c>
      <c r="G54" s="14">
        <f>+G47</f>
        <v>-21.034486535000326</v>
      </c>
      <c r="H54" s="14"/>
      <c r="I54" s="14"/>
      <c r="J54" s="14"/>
      <c r="K54" s="14"/>
    </row>
    <row r="55" spans="1:27" s="16" customFormat="1" ht="11.25" x14ac:dyDescent="0.2">
      <c r="B55" s="14"/>
      <c r="C55" s="14"/>
      <c r="D55" s="14"/>
      <c r="E55" s="14"/>
      <c r="F55" s="31"/>
      <c r="G55" s="14"/>
      <c r="H55" s="14"/>
      <c r="I55" s="14"/>
      <c r="J55" s="14"/>
      <c r="K55" s="14"/>
    </row>
    <row r="56" spans="1:27" s="16" customFormat="1" ht="12" thickBot="1" x14ac:dyDescent="0.25">
      <c r="B56" s="14"/>
      <c r="C56" s="14"/>
      <c r="D56" s="14"/>
      <c r="E56" s="14"/>
      <c r="F56" s="31" t="str">
        <f>$K$10&amp;"/"&amp;$K$21&amp;" Monthly True-up Amount"</f>
        <v>2018/2019 Monthly True-up Amount</v>
      </c>
      <c r="G56" s="370">
        <f>ROUND(G54/G53,2)</f>
        <v>-0.01</v>
      </c>
      <c r="H56" s="14"/>
      <c r="I56" s="24">
        <f>+G56</f>
        <v>-0.01</v>
      </c>
      <c r="J56" s="14"/>
      <c r="K56" s="14"/>
    </row>
    <row r="57" spans="1:27" s="16" customFormat="1" ht="12" thickTop="1" x14ac:dyDescent="0.2">
      <c r="B57" s="14"/>
      <c r="C57" s="14"/>
      <c r="D57" s="14"/>
      <c r="E57" s="14"/>
      <c r="F57" s="31"/>
      <c r="G57" s="14"/>
      <c r="H57" s="14"/>
      <c r="I57" s="24"/>
      <c r="J57" s="14"/>
      <c r="K57" s="14"/>
      <c r="O57" s="356" t="s">
        <v>67</v>
      </c>
      <c r="Y57" s="14"/>
    </row>
    <row r="58" spans="1:27" s="16" customFormat="1" ht="11.25" x14ac:dyDescent="0.2">
      <c r="B58" s="14" t="s">
        <v>228</v>
      </c>
      <c r="C58" s="14"/>
      <c r="D58" s="14"/>
      <c r="E58" s="14"/>
      <c r="F58" s="31"/>
      <c r="G58" s="14"/>
      <c r="H58" s="14"/>
      <c r="I58" s="24"/>
      <c r="J58" s="14"/>
      <c r="K58" s="14"/>
      <c r="O58" s="355">
        <f>+'[11]WUTC_AW of Kent_MF'!$O$56</f>
        <v>0.5</v>
      </c>
    </row>
    <row r="59" spans="1:27" s="16" customFormat="1" ht="12" thickBot="1" x14ac:dyDescent="0.25">
      <c r="B59" s="30"/>
      <c r="C59" s="14"/>
      <c r="D59" s="14"/>
      <c r="E59" s="14"/>
      <c r="F59" s="31" t="s">
        <v>227</v>
      </c>
      <c r="G59" s="369">
        <f>+F27/'Value MF 181017'!$P$20*$O$58</f>
        <v>0.14832912126806636</v>
      </c>
      <c r="H59" s="14"/>
      <c r="I59" s="24">
        <f>+G59</f>
        <v>0.14832912126806636</v>
      </c>
      <c r="J59" s="22" t="s">
        <v>12</v>
      </c>
      <c r="K59" s="14"/>
    </row>
    <row r="60" spans="1:27" s="14" customFormat="1" ht="12" thickTop="1" x14ac:dyDescent="0.2">
      <c r="B60" s="30"/>
      <c r="I60" s="24"/>
      <c r="X60" s="16"/>
      <c r="Y60" s="16"/>
    </row>
    <row r="61" spans="1:27" s="16" customFormat="1" ht="12" thickBot="1" x14ac:dyDescent="0.25">
      <c r="B61" s="14"/>
      <c r="C61" s="14"/>
      <c r="D61" s="14"/>
      <c r="E61" s="14"/>
      <c r="F61" s="14"/>
      <c r="G61" s="31" t="s">
        <v>226</v>
      </c>
      <c r="H61" s="27"/>
      <c r="I61" s="128">
        <f>+I56+I59</f>
        <v>0.13832912126806635</v>
      </c>
      <c r="J61" s="14"/>
    </row>
    <row r="62" spans="1:27" s="16" customFormat="1" ht="12" thickTop="1" x14ac:dyDescent="0.2">
      <c r="I62" s="24"/>
    </row>
    <row r="63" spans="1:27" s="16" customFormat="1" ht="11.25" x14ac:dyDescent="0.2">
      <c r="G63" s="109" t="s">
        <v>89</v>
      </c>
      <c r="I63" s="16">
        <f>+I61*3.5</f>
        <v>0.48415192443823218</v>
      </c>
    </row>
    <row r="64" spans="1:27" s="16" customFormat="1" ht="11.25" x14ac:dyDescent="0.2">
      <c r="A64" s="117"/>
      <c r="B64" s="117"/>
      <c r="C64" s="117"/>
      <c r="D64" s="117"/>
      <c r="E64" s="117"/>
      <c r="F64" s="117"/>
      <c r="G64" s="109"/>
    </row>
    <row r="65" spans="1:27" s="16" customFormat="1" ht="11.25" x14ac:dyDescent="0.2">
      <c r="A65" s="156"/>
      <c r="B65" s="157"/>
      <c r="C65" s="158"/>
      <c r="D65" s="158"/>
      <c r="E65" s="158"/>
      <c r="F65" s="159"/>
      <c r="G65" s="109"/>
    </row>
    <row r="66" spans="1:27" s="16" customFormat="1" ht="11.25" x14ac:dyDescent="0.2">
      <c r="A66" s="120"/>
      <c r="B66" s="159"/>
      <c r="C66" s="159"/>
      <c r="D66" s="159"/>
      <c r="E66" s="159"/>
      <c r="F66" s="159"/>
      <c r="G66" s="160"/>
      <c r="H66" s="160"/>
      <c r="I66" s="160"/>
      <c r="J66" s="160"/>
      <c r="K66" s="160"/>
      <c r="Y66" s="14"/>
    </row>
    <row r="67" spans="1:27" s="16" customFormat="1" ht="11.25" x14ac:dyDescent="0.2">
      <c r="A67" s="120"/>
      <c r="B67" s="16" t="s">
        <v>223</v>
      </c>
      <c r="C67" s="159"/>
      <c r="D67" s="159"/>
      <c r="E67" s="159"/>
      <c r="F67" s="159"/>
      <c r="G67" s="109" t="s">
        <v>90</v>
      </c>
      <c r="I67" s="350"/>
    </row>
    <row r="68" spans="1:27" s="16" customFormat="1" ht="11.25" x14ac:dyDescent="0.2">
      <c r="A68" s="162"/>
      <c r="B68" s="34"/>
      <c r="C68" s="34"/>
      <c r="D68" s="117"/>
      <c r="E68" s="34"/>
      <c r="F68" s="117"/>
      <c r="G68" s="14"/>
      <c r="H68" s="14"/>
      <c r="I68" s="14"/>
    </row>
    <row r="69" spans="1:27" s="16" customFormat="1" ht="11.25" x14ac:dyDescent="0.2">
      <c r="A69" s="162"/>
      <c r="B69" s="163"/>
      <c r="C69" s="34"/>
      <c r="D69" s="117"/>
      <c r="E69" s="34"/>
      <c r="F69" s="117"/>
      <c r="G69" s="109" t="s">
        <v>92</v>
      </c>
      <c r="I69" s="302">
        <f>I67/(B25)</f>
        <v>0</v>
      </c>
    </row>
    <row r="70" spans="1:27" s="16" customFormat="1" ht="11.25" x14ac:dyDescent="0.2">
      <c r="A70" s="162"/>
      <c r="B70" s="163"/>
      <c r="C70" s="34"/>
      <c r="D70" s="117"/>
      <c r="E70" s="34"/>
      <c r="F70" s="117"/>
    </row>
    <row r="71" spans="1:27" s="16" customFormat="1" ht="12" thickBot="1" x14ac:dyDescent="0.25">
      <c r="A71" s="162"/>
      <c r="B71" s="163"/>
      <c r="C71" s="34"/>
      <c r="D71" s="117"/>
      <c r="E71" s="34"/>
      <c r="F71" s="117"/>
      <c r="G71" s="31" t="str">
        <f>$K$21+1&amp;" Net Credit/(Debit)"</f>
        <v>2020 Net Credit/(Debit)</v>
      </c>
      <c r="H71" s="27"/>
      <c r="I71" s="368">
        <f>+I61+I69</f>
        <v>0.13832912126806635</v>
      </c>
      <c r="Y71" s="14"/>
    </row>
    <row r="72" spans="1:27" s="16" customFormat="1" ht="12" thickTop="1" x14ac:dyDescent="0.2">
      <c r="A72" s="162"/>
      <c r="B72" s="163"/>
      <c r="C72" s="34"/>
      <c r="D72" s="117"/>
      <c r="E72" s="34"/>
      <c r="F72" s="117"/>
    </row>
    <row r="73" spans="1:27" s="16" customFormat="1" ht="11.25" x14ac:dyDescent="0.2">
      <c r="A73" s="162"/>
      <c r="B73" s="163"/>
      <c r="C73" s="34"/>
      <c r="D73" s="117"/>
      <c r="E73" s="34"/>
      <c r="F73" s="117"/>
      <c r="G73" s="109" t="s">
        <v>93</v>
      </c>
      <c r="I73" s="164">
        <f>+I71*3.5</f>
        <v>0.48415192443823218</v>
      </c>
    </row>
    <row r="74" spans="1:27" s="16" customFormat="1" ht="11.25" x14ac:dyDescent="0.2">
      <c r="A74" s="162"/>
      <c r="B74" s="163"/>
      <c r="C74" s="34"/>
      <c r="D74" s="117"/>
      <c r="E74" s="34"/>
      <c r="F74" s="117"/>
      <c r="G74" s="109" t="s">
        <v>94</v>
      </c>
      <c r="I74" s="16">
        <f>I71*5</f>
        <v>0.69164560634033179</v>
      </c>
    </row>
    <row r="75" spans="1:27" s="16" customFormat="1" ht="11.25" x14ac:dyDescent="0.2">
      <c r="A75" s="162"/>
      <c r="B75" s="163"/>
      <c r="C75" s="34"/>
      <c r="D75" s="117"/>
      <c r="E75" s="34"/>
      <c r="F75" s="117"/>
      <c r="J75" s="14"/>
      <c r="K75" s="13"/>
      <c r="L75" s="14"/>
      <c r="M75" s="14"/>
      <c r="N75" s="14"/>
      <c r="O75" s="14"/>
      <c r="P75" s="14"/>
      <c r="Q75" s="14"/>
      <c r="R75" s="14"/>
      <c r="S75" s="14"/>
      <c r="T75" s="14"/>
      <c r="U75" s="14"/>
      <c r="V75" s="13"/>
      <c r="W75" s="14"/>
      <c r="AA75" s="14"/>
    </row>
    <row r="76" spans="1:27" s="16" customFormat="1" ht="11.25" x14ac:dyDescent="0.2">
      <c r="A76" s="162"/>
      <c r="B76" s="163"/>
      <c r="C76" s="34"/>
      <c r="D76" s="117"/>
      <c r="E76" s="34"/>
      <c r="F76" s="117"/>
    </row>
    <row r="77" spans="1:27" s="16" customFormat="1" ht="11.25" x14ac:dyDescent="0.2">
      <c r="A77" s="162"/>
      <c r="B77" s="163"/>
      <c r="C77" s="34"/>
      <c r="D77" s="117"/>
      <c r="E77" s="34"/>
      <c r="F77" s="117"/>
    </row>
    <row r="78" spans="1:27" s="16" customFormat="1" ht="11.25" x14ac:dyDescent="0.2">
      <c r="A78" s="162"/>
      <c r="B78" s="34"/>
      <c r="C78" s="34"/>
      <c r="D78" s="117"/>
      <c r="E78" s="34"/>
      <c r="F78" s="117"/>
    </row>
    <row r="79" spans="1:27" s="16" customFormat="1" ht="11.25" x14ac:dyDescent="0.2">
      <c r="A79" s="162"/>
      <c r="B79" s="34"/>
      <c r="C79" s="165"/>
      <c r="D79" s="117"/>
      <c r="E79" s="34"/>
      <c r="F79" s="117"/>
    </row>
    <row r="80" spans="1:27" s="16" customFormat="1" x14ac:dyDescent="0.2">
      <c r="A80" s="121"/>
      <c r="B80" s="121"/>
      <c r="C80" s="121"/>
      <c r="D80" s="166"/>
      <c r="E80" s="121"/>
      <c r="F80" s="121"/>
      <c r="Y80" s="14"/>
    </row>
    <row r="81" spans="1:27" s="16" customFormat="1" ht="11.25" x14ac:dyDescent="0.2">
      <c r="A81" s="167"/>
      <c r="B81" s="34"/>
      <c r="C81" s="165"/>
      <c r="D81" s="117"/>
      <c r="E81" s="165"/>
      <c r="F81" s="168"/>
    </row>
    <row r="82" spans="1:27" s="16" customFormat="1" ht="11.25" x14ac:dyDescent="0.2"/>
    <row r="83" spans="1:27" s="16" customFormat="1" ht="11.25" x14ac:dyDescent="0.2"/>
    <row r="84" spans="1:27" s="16" customFormat="1" ht="11.25" x14ac:dyDescent="0.2">
      <c r="B84" s="8"/>
    </row>
    <row r="85" spans="1:27" s="14" customFormat="1" ht="11.25" x14ac:dyDescent="0.2">
      <c r="B85" s="30"/>
      <c r="X85" s="16"/>
      <c r="Y85" s="16"/>
    </row>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row r="92" spans="1:27" s="16" customFormat="1" ht="11.25" x14ac:dyDescent="0.2"/>
    <row r="93" spans="1:27" s="16" customFormat="1" ht="11.25" x14ac:dyDescent="0.2"/>
    <row r="94" spans="1:27" s="16" customFormat="1" ht="11.25" x14ac:dyDescent="0.2">
      <c r="A94" s="6"/>
    </row>
    <row r="95" spans="1:27" s="16" customFormat="1" x14ac:dyDescent="0.2">
      <c r="AA95" s="5"/>
    </row>
    <row r="96" spans="1:27" s="16" customFormat="1" x14ac:dyDescent="0.2">
      <c r="AA96" s="5"/>
    </row>
    <row r="97" spans="7:27" s="16" customFormat="1" x14ac:dyDescent="0.2">
      <c r="AA97" s="5"/>
    </row>
    <row r="98" spans="7:27" s="16" customFormat="1" x14ac:dyDescent="0.2">
      <c r="AA98" s="5"/>
    </row>
    <row r="99" spans="7:27" s="16" customFormat="1" x14ac:dyDescent="0.2">
      <c r="G99" s="49"/>
      <c r="I99" s="49"/>
      <c r="J99" s="49"/>
      <c r="L99" s="49"/>
      <c r="M99" s="49"/>
      <c r="N99" s="49"/>
      <c r="O99" s="49"/>
      <c r="P99" s="49"/>
      <c r="Q99" s="49"/>
      <c r="R99" s="49"/>
      <c r="S99" s="49"/>
      <c r="T99" s="49"/>
      <c r="U99" s="49"/>
      <c r="V99" s="49"/>
      <c r="W99" s="49"/>
      <c r="X99" s="49"/>
      <c r="Y99" s="49"/>
      <c r="AA99" s="5"/>
    </row>
    <row r="100" spans="7:27" s="16" customFormat="1" x14ac:dyDescent="0.2">
      <c r="AA100" s="5"/>
    </row>
    <row r="101" spans="7:27" s="16" customFormat="1" ht="13.5" thickBot="1" x14ac:dyDescent="0.25">
      <c r="G101" s="50"/>
      <c r="I101" s="50"/>
      <c r="J101" s="50"/>
      <c r="L101" s="50"/>
      <c r="M101" s="50"/>
      <c r="N101" s="50"/>
      <c r="O101" s="50"/>
      <c r="P101" s="50"/>
      <c r="Q101" s="50"/>
      <c r="R101" s="50"/>
      <c r="S101" s="50"/>
      <c r="T101" s="50"/>
      <c r="U101" s="50"/>
      <c r="V101" s="50"/>
      <c r="W101" s="50"/>
      <c r="X101" s="50"/>
      <c r="Y101" s="50"/>
      <c r="AA101" s="5"/>
    </row>
    <row r="102" spans="7:27" ht="13.5" thickTop="1" x14ac:dyDescent="0.2"/>
    <row r="103" spans="7:27" x14ac:dyDescent="0.2">
      <c r="W103" s="51"/>
      <c r="X103" s="51"/>
      <c r="Y103" s="51"/>
    </row>
    <row r="104" spans="7:27" x14ac:dyDescent="0.2">
      <c r="W104" s="51"/>
      <c r="AA104" s="51"/>
    </row>
  </sheetData>
  <printOptions horizontalCentered="1"/>
  <pageMargins left="0" right="0" top="0.26" bottom="0.33" header="0" footer="0"/>
  <pageSetup scale="74" orientation="portrait" horizontalDpi="4294967292" verticalDpi="4294967292" r:id="rId1"/>
  <headerFooter alignWithMargins="0">
    <oddFooter>&amp;R&amp;"Helv,Regular"&amp;6\\SERVER1\DPUBLIC\EXCEL\WUTC\&amp;F, &amp;A, &amp;D, &amp;T, Page &amp;P of &amp;N</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121"/>
  <sheetViews>
    <sheetView showGridLines="0" zoomScaleNormal="100" workbookViewId="0">
      <selection activeCell="J39" sqref="J39"/>
    </sheetView>
  </sheetViews>
  <sheetFormatPr defaultRowHeight="12.75" x14ac:dyDescent="0.2"/>
  <cols>
    <col min="1" max="2" width="9.140625" style="186"/>
    <col min="3" max="3" width="13.28515625" style="186" customWidth="1"/>
    <col min="4" max="5" width="11.5703125" style="186" customWidth="1"/>
    <col min="6" max="6" width="12.28515625" style="186" customWidth="1"/>
    <col min="7" max="7" width="9.7109375" style="186" customWidth="1"/>
    <col min="8" max="8" width="9.42578125" style="186" customWidth="1"/>
    <col min="9" max="9" width="9.28515625" style="186" customWidth="1"/>
    <col min="10" max="10" width="10" style="186" customWidth="1"/>
    <col min="11" max="11" width="9.7109375" style="186" customWidth="1"/>
    <col min="12" max="12" width="10.42578125" style="186" customWidth="1"/>
    <col min="13" max="16384" width="9.140625" style="186"/>
  </cols>
  <sheetData>
    <row r="1" spans="1:13" x14ac:dyDescent="0.2">
      <c r="A1" s="320" t="str">
        <f>"Commodity Pricing:  "&amp;TEXT(A7,"mmm-yy")&amp;" - "&amp;TEXT(A18,"mmm-yy")</f>
        <v>Commodity Pricing:  May-17 - Apr-18</v>
      </c>
      <c r="B1" s="319"/>
    </row>
    <row r="2" spans="1:13" ht="13.5" customHeight="1" x14ac:dyDescent="0.2">
      <c r="A2" s="318" t="str">
        <f>'WUTC_KENT_MF 2018'!A1</f>
        <v>Kent-Meridian Disposal</v>
      </c>
      <c r="B2" s="318"/>
    </row>
    <row r="3" spans="1:13" ht="13.5" customHeight="1" x14ac:dyDescent="0.2">
      <c r="A3" s="318"/>
      <c r="B3" s="318"/>
    </row>
    <row r="4" spans="1:13" x14ac:dyDescent="0.2">
      <c r="B4" s="314"/>
      <c r="C4" s="316" t="s">
        <v>21</v>
      </c>
      <c r="D4" s="316" t="s">
        <v>22</v>
      </c>
      <c r="E4" s="316" t="s">
        <v>55</v>
      </c>
      <c r="F4" s="316" t="s">
        <v>23</v>
      </c>
      <c r="G4" s="316" t="s">
        <v>24</v>
      </c>
      <c r="H4" s="316" t="s">
        <v>25</v>
      </c>
      <c r="I4" s="316" t="s">
        <v>26</v>
      </c>
      <c r="J4" s="316" t="s">
        <v>27</v>
      </c>
      <c r="K4" s="316" t="s">
        <v>28</v>
      </c>
      <c r="L4" s="316" t="s">
        <v>29</v>
      </c>
      <c r="M4" s="316"/>
    </row>
    <row r="5" spans="1:13" x14ac:dyDescent="0.2">
      <c r="B5" s="314"/>
      <c r="C5" s="323">
        <v>69</v>
      </c>
      <c r="D5" s="323">
        <v>71</v>
      </c>
      <c r="E5" s="323">
        <v>72</v>
      </c>
      <c r="F5" s="323">
        <v>67</v>
      </c>
      <c r="G5" s="323">
        <v>64</v>
      </c>
      <c r="H5" s="323">
        <v>74</v>
      </c>
      <c r="I5" s="323">
        <v>68</v>
      </c>
      <c r="J5" s="323">
        <v>68</v>
      </c>
      <c r="K5" s="323">
        <v>65</v>
      </c>
      <c r="L5" s="323">
        <v>73</v>
      </c>
      <c r="M5" s="314"/>
    </row>
    <row r="6" spans="1:13" x14ac:dyDescent="0.2">
      <c r="B6" s="314"/>
      <c r="C6" s="314"/>
      <c r="D6" s="314"/>
      <c r="E6" s="314"/>
      <c r="F6" s="314"/>
      <c r="G6" s="314"/>
      <c r="H6" s="314"/>
      <c r="I6" s="314"/>
      <c r="J6" s="314"/>
      <c r="K6" s="314"/>
      <c r="L6" s="314"/>
      <c r="M6" s="314"/>
    </row>
    <row r="7" spans="1:13" x14ac:dyDescent="0.2">
      <c r="A7" s="313">
        <f>+'Commodity Tonnages MF 2018'!A7</f>
        <v>42886</v>
      </c>
      <c r="B7" s="314"/>
      <c r="C7" s="307">
        <f>HLOOKUP($A7,'Multi_Family MF 2018'!$C$6:$N$79,C$5,FALSE)</f>
        <v>905.35</v>
      </c>
      <c r="D7" s="311">
        <f>HLOOKUP($A7,'Multi_Family MF 2018'!$C$6:$N$79,D$5,FALSE)</f>
        <v>-15.91</v>
      </c>
      <c r="E7" s="311">
        <f>HLOOKUP($A7,'Multi_Family MF 2018'!$C$6:$N$79,E$5,FALSE)</f>
        <v>0</v>
      </c>
      <c r="F7" s="307">
        <f>HLOOKUP($A7,'Multi_Family MF 2018'!$C$6:$N$79,F$5,FALSE)</f>
        <v>71.989999999999995</v>
      </c>
      <c r="G7" s="307">
        <f>HLOOKUP($A7,'Multi_Family MF 2018'!$C$6:$N$79,G$5,FALSE)</f>
        <v>65.3</v>
      </c>
      <c r="H7" s="307">
        <f>HLOOKUP($A7,'Multi_Family MF 2018'!$C$6:$N$79,H$5,FALSE)</f>
        <v>60.14</v>
      </c>
      <c r="I7" s="307">
        <f>HLOOKUP($A7,'Multi_Family MF 2018'!$C$6:$N$79,I$5,FALSE)</f>
        <v>92.51</v>
      </c>
      <c r="J7" s="307">
        <f>HLOOKUP($A7,'Multi_Family MF 2018'!$C$6:$N$79,J$5,FALSE)</f>
        <v>92.51</v>
      </c>
      <c r="K7" s="307">
        <f>HLOOKUP($A7,'Multi_Family MF 2018'!$C$6:$N$79,K$5,FALSE)</f>
        <v>132.68</v>
      </c>
      <c r="L7" s="311">
        <f>HLOOKUP($A7,'Multi_Family MF 2018'!$C$6:$N$79,L$5,FALSE)</f>
        <v>-134.59</v>
      </c>
      <c r="M7" s="314"/>
    </row>
    <row r="8" spans="1:13" x14ac:dyDescent="0.2">
      <c r="A8" s="313">
        <f>+'Commodity Tonnages MF 2018'!A8</f>
        <v>42916</v>
      </c>
      <c r="B8" s="314"/>
      <c r="C8" s="307">
        <f>HLOOKUP($A8,'Multi_Family MF 2018'!$C$6:$N$79,C$5,FALSE)</f>
        <v>894.34</v>
      </c>
      <c r="D8" s="311">
        <f>HLOOKUP($A8,'Multi_Family MF 2018'!$C$6:$N$79,D$5,FALSE)</f>
        <v>-6.4</v>
      </c>
      <c r="E8" s="311">
        <f>HLOOKUP($A8,'Multi_Family MF 2018'!$C$6:$N$79,E$5,FALSE)</f>
        <v>0</v>
      </c>
      <c r="F8" s="307">
        <f>HLOOKUP($A8,'Multi_Family MF 2018'!$C$6:$N$79,F$5,FALSE)</f>
        <v>69.08</v>
      </c>
      <c r="G8" s="307">
        <f>HLOOKUP($A8,'Multi_Family MF 2018'!$C$6:$N$79,G$5,FALSE)</f>
        <v>85.06</v>
      </c>
      <c r="H8" s="307">
        <f>HLOOKUP($A8,'Multi_Family MF 2018'!$C$6:$N$79,H$5,FALSE)</f>
        <v>78.88</v>
      </c>
      <c r="I8" s="307">
        <f>HLOOKUP($A8,'Multi_Family MF 2018'!$C$6:$N$79,I$5,FALSE)</f>
        <v>70.599999999999994</v>
      </c>
      <c r="J8" s="307">
        <f>HLOOKUP($A8,'Multi_Family MF 2018'!$C$6:$N$79,J$5,FALSE)</f>
        <v>70.599999999999994</v>
      </c>
      <c r="K8" s="307">
        <f>HLOOKUP($A8,'Multi_Family MF 2018'!$C$6:$N$79,K$5,FALSE)</f>
        <v>159.52000000000001</v>
      </c>
      <c r="L8" s="311">
        <f>HLOOKUP($A8,'Multi_Family MF 2018'!$C$6:$N$79,L$5,FALSE)</f>
        <v>-134.59</v>
      </c>
      <c r="M8" s="314"/>
    </row>
    <row r="9" spans="1:13" x14ac:dyDescent="0.2">
      <c r="A9" s="313">
        <f>+'Commodity Tonnages MF 2018'!A9</f>
        <v>42947</v>
      </c>
      <c r="B9" s="305"/>
      <c r="C9" s="307">
        <f>HLOOKUP($A9,'Multi_Family MF 2018'!$C$6:$N$79,C$5,FALSE)</f>
        <v>871.1</v>
      </c>
      <c r="D9" s="311">
        <f>HLOOKUP($A9,'Multi_Family MF 2018'!$C$6:$N$79,D$5,FALSE)</f>
        <v>-6.61</v>
      </c>
      <c r="E9" s="311">
        <f>HLOOKUP($A9,'Multi_Family MF 2018'!$C$6:$N$79,E$5,FALSE)</f>
        <v>0</v>
      </c>
      <c r="F9" s="307">
        <f>HLOOKUP($A9,'Multi_Family MF 2018'!$C$6:$N$79,F$5,FALSE)</f>
        <v>67.63</v>
      </c>
      <c r="G9" s="307">
        <f>HLOOKUP($A9,'Multi_Family MF 2018'!$C$6:$N$79,G$5,FALSE)</f>
        <v>98.56</v>
      </c>
      <c r="H9" s="307">
        <f>HLOOKUP($A9,'Multi_Family MF 2018'!$C$6:$N$79,H$5,FALSE)</f>
        <v>93.44</v>
      </c>
      <c r="I9" s="307">
        <f>HLOOKUP($A9,'Multi_Family MF 2018'!$C$6:$N$79,I$5,FALSE)</f>
        <v>62.55</v>
      </c>
      <c r="J9" s="307">
        <f>HLOOKUP($A9,'Multi_Family MF 2018'!$C$6:$N$79,J$5,FALSE)</f>
        <v>62.55</v>
      </c>
      <c r="K9" s="307">
        <f>HLOOKUP($A9,'Multi_Family MF 2018'!$C$6:$N$79,K$5,FALSE)</f>
        <v>163.29</v>
      </c>
      <c r="L9" s="311">
        <f>HLOOKUP($A9,'Multi_Family MF 2018'!$C$6:$N$79,L$5,FALSE)</f>
        <v>-134.59</v>
      </c>
      <c r="M9" s="306"/>
    </row>
    <row r="10" spans="1:13" x14ac:dyDescent="0.2">
      <c r="A10" s="313">
        <f>+'Commodity Tonnages MF 2018'!A10</f>
        <v>42978</v>
      </c>
      <c r="B10" s="305"/>
      <c r="C10" s="307">
        <f>HLOOKUP($A10,'Multi_Family MF 2018'!$C$6:$N$79,C$5,FALSE)</f>
        <v>905.36</v>
      </c>
      <c r="D10" s="311">
        <f>HLOOKUP($A10,'Multi_Family MF 2018'!$C$6:$N$79,D$5,FALSE)</f>
        <v>-4.34</v>
      </c>
      <c r="E10" s="311">
        <f>HLOOKUP($A10,'Multi_Family MF 2018'!$C$6:$N$79,E$5,FALSE)</f>
        <v>0</v>
      </c>
      <c r="F10" s="307">
        <f>HLOOKUP($A10,'Multi_Family MF 2018'!$C$6:$N$79,F$5,FALSE)</f>
        <v>78.11</v>
      </c>
      <c r="G10" s="307">
        <f>HLOOKUP($A10,'Multi_Family MF 2018'!$C$6:$N$79,G$5,FALSE)</f>
        <v>81.63</v>
      </c>
      <c r="H10" s="307">
        <f>HLOOKUP($A10,'Multi_Family MF 2018'!$C$6:$N$79,H$5,FALSE)</f>
        <v>77.209999999999994</v>
      </c>
      <c r="I10" s="307">
        <f>HLOOKUP($A10,'Multi_Family MF 2018'!$C$6:$N$79,I$5,FALSE)</f>
        <v>83.03</v>
      </c>
      <c r="J10" s="307">
        <f>HLOOKUP($A10,'Multi_Family MF 2018'!$C$6:$N$79,J$5,FALSE)</f>
        <v>83.03</v>
      </c>
      <c r="K10" s="307">
        <f>HLOOKUP($A10,'Multi_Family MF 2018'!$C$6:$N$79,K$5,FALSE)</f>
        <v>145.72999999999999</v>
      </c>
      <c r="L10" s="311">
        <f>HLOOKUP($A10,'Multi_Family MF 2018'!$C$6:$N$79,L$5,FALSE)</f>
        <v>-134.59</v>
      </c>
      <c r="M10" s="306"/>
    </row>
    <row r="11" spans="1:13" x14ac:dyDescent="0.2">
      <c r="A11" s="313">
        <f>+'Commodity Tonnages MF 2018'!A11</f>
        <v>43008</v>
      </c>
      <c r="B11" s="305"/>
      <c r="C11" s="307">
        <f>HLOOKUP($A11,'Multi_Family MF 2018'!$C$6:$N$79,C$5,FALSE)</f>
        <v>953.11</v>
      </c>
      <c r="D11" s="311">
        <f>HLOOKUP($A11,'Multi_Family MF 2018'!$C$6:$N$79,D$5,FALSE)</f>
        <v>-5.61</v>
      </c>
      <c r="E11" s="311">
        <f>HLOOKUP($A11,'Multi_Family MF 2018'!$C$6:$N$79,E$5,FALSE)</f>
        <v>0</v>
      </c>
      <c r="F11" s="307">
        <f>HLOOKUP($A11,'Multi_Family MF 2018'!$C$6:$N$79,F$5,FALSE)</f>
        <v>86.53</v>
      </c>
      <c r="G11" s="307">
        <f>HLOOKUP($A11,'Multi_Family MF 2018'!$C$6:$N$79,G$5,FALSE)</f>
        <v>63.02</v>
      </c>
      <c r="H11" s="307">
        <f>HLOOKUP($A11,'Multi_Family MF 2018'!$C$6:$N$79,H$5,FALSE)</f>
        <v>57.85</v>
      </c>
      <c r="I11" s="307">
        <f>HLOOKUP($A11,'Multi_Family MF 2018'!$C$6:$N$79,I$5,FALSE)</f>
        <v>72.099999999999994</v>
      </c>
      <c r="J11" s="307">
        <f>HLOOKUP($A11,'Multi_Family MF 2018'!$C$6:$N$79,J$5,FALSE)</f>
        <v>72.099999999999994</v>
      </c>
      <c r="K11" s="307">
        <f>HLOOKUP($A11,'Multi_Family MF 2018'!$C$6:$N$79,K$5,FALSE)</f>
        <v>110.68</v>
      </c>
      <c r="L11" s="311">
        <f>HLOOKUP($A11,'Multi_Family MF 2018'!$C$6:$N$79,L$5,FALSE)</f>
        <v>-134.59</v>
      </c>
      <c r="M11" s="306"/>
    </row>
    <row r="12" spans="1:13" x14ac:dyDescent="0.2">
      <c r="A12" s="313">
        <f>+'Commodity Tonnages MF 2018'!A12</f>
        <v>43039</v>
      </c>
      <c r="B12" s="305"/>
      <c r="C12" s="307">
        <f>HLOOKUP($A12,'Multi_Family MF 2018'!$C$6:$N$79,C$5,FALSE)</f>
        <v>980.71</v>
      </c>
      <c r="D12" s="311">
        <f>HLOOKUP($A12,'Multi_Family MF 2018'!$C$6:$N$79,D$5,FALSE)</f>
        <v>-8.7799999999999994</v>
      </c>
      <c r="E12" s="311">
        <f>HLOOKUP($A12,'Multi_Family MF 2018'!$C$6:$N$79,E$5,FALSE)</f>
        <v>0</v>
      </c>
      <c r="F12" s="307">
        <f>HLOOKUP($A12,'Multi_Family MF 2018'!$C$6:$N$79,F$5,FALSE)</f>
        <v>76.06</v>
      </c>
      <c r="G12" s="307">
        <f>HLOOKUP($A12,'Multi_Family MF 2018'!$C$6:$N$79,G$5,FALSE)</f>
        <v>60.33</v>
      </c>
      <c r="H12" s="307">
        <f>HLOOKUP($A12,'Multi_Family MF 2018'!$C$6:$N$79,H$5,FALSE)</f>
        <v>55.22</v>
      </c>
      <c r="I12" s="307">
        <f>HLOOKUP($A12,'Multi_Family MF 2018'!$C$6:$N$79,I$5,FALSE)</f>
        <v>48.29</v>
      </c>
      <c r="J12" s="307">
        <f>HLOOKUP($A12,'Multi_Family MF 2018'!$C$6:$N$79,J$5,FALSE)</f>
        <v>48.29</v>
      </c>
      <c r="K12" s="307">
        <f>HLOOKUP($A12,'Multi_Family MF 2018'!$C$6:$N$79,K$5,FALSE)</f>
        <v>81.77</v>
      </c>
      <c r="L12" s="311">
        <f>HLOOKUP($A12,'Multi_Family MF 2018'!$C$6:$N$79,L$5,FALSE)</f>
        <v>-134.59</v>
      </c>
      <c r="M12" s="306"/>
    </row>
    <row r="13" spans="1:13" x14ac:dyDescent="0.2">
      <c r="A13" s="313">
        <f>+'Commodity Tonnages MF 2018'!A13</f>
        <v>43069</v>
      </c>
      <c r="B13" s="305"/>
      <c r="C13" s="307">
        <f>HLOOKUP($A13,'Multi_Family MF 2018'!$C$6:$N$79,C$5,FALSE)</f>
        <v>971.66</v>
      </c>
      <c r="D13" s="311">
        <f>HLOOKUP($A13,'Multi_Family MF 2018'!$C$6:$N$79,D$5,FALSE)</f>
        <v>-2.5099999999999998</v>
      </c>
      <c r="E13" s="311">
        <f>HLOOKUP($A13,'Multi_Family MF 2018'!$C$6:$N$79,E$5,FALSE)</f>
        <v>0</v>
      </c>
      <c r="F13" s="307">
        <f>HLOOKUP($A13,'Multi_Family MF 2018'!$C$6:$N$79,F$5,FALSE)</f>
        <v>78.08</v>
      </c>
      <c r="G13" s="307">
        <f>HLOOKUP($A13,'Multi_Family MF 2018'!$C$6:$N$79,G$5,FALSE)</f>
        <v>65.930000000000007</v>
      </c>
      <c r="H13" s="307">
        <f>HLOOKUP($A13,'Multi_Family MF 2018'!$C$6:$N$79,H$5,FALSE)</f>
        <v>52.85</v>
      </c>
      <c r="I13" s="307">
        <f>HLOOKUP($A13,'Multi_Family MF 2018'!$C$6:$N$79,I$5,FALSE)</f>
        <v>50.05</v>
      </c>
      <c r="J13" s="307">
        <f>HLOOKUP($A13,'Multi_Family MF 2018'!$C$6:$N$79,J$5,FALSE)</f>
        <v>50.05</v>
      </c>
      <c r="K13" s="307">
        <f>HLOOKUP($A13,'Multi_Family MF 2018'!$C$6:$N$79,K$5,FALSE)</f>
        <v>114.18</v>
      </c>
      <c r="L13" s="311">
        <f>HLOOKUP($A13,'Multi_Family MF 2018'!$C$6:$N$79,L$5,FALSE)</f>
        <v>-134.59</v>
      </c>
      <c r="M13" s="306"/>
    </row>
    <row r="14" spans="1:13" x14ac:dyDescent="0.2">
      <c r="A14" s="313">
        <f>+'Commodity Tonnages MF 2018'!A14</f>
        <v>43100</v>
      </c>
      <c r="B14" s="305"/>
      <c r="C14" s="307">
        <f>HLOOKUP($A14,'Multi_Family MF 2018'!$C$6:$N$79,C$5,FALSE)</f>
        <v>973.36</v>
      </c>
      <c r="D14" s="311">
        <f>HLOOKUP($A14,'Multi_Family MF 2018'!$C$6:$N$79,D$5,FALSE)</f>
        <v>-9.4600000000000009</v>
      </c>
      <c r="E14" s="311">
        <f>HLOOKUP($A14,'Multi_Family MF 2018'!$C$6:$N$79,E$5,FALSE)</f>
        <v>0</v>
      </c>
      <c r="F14" s="307">
        <f>HLOOKUP($A14,'Multi_Family MF 2018'!$C$6:$N$79,F$5,FALSE)</f>
        <v>88.61</v>
      </c>
      <c r="G14" s="307">
        <f>HLOOKUP($A14,'Multi_Family MF 2018'!$C$6:$N$79,G$5,FALSE)</f>
        <v>63.69</v>
      </c>
      <c r="H14" s="307">
        <f>HLOOKUP($A14,'Multi_Family MF 2018'!$C$6:$N$79,H$5,FALSE)</f>
        <v>49.88</v>
      </c>
      <c r="I14" s="307">
        <f>HLOOKUP($A14,'Multi_Family MF 2018'!$C$6:$N$79,I$5,FALSE)</f>
        <v>51.67</v>
      </c>
      <c r="J14" s="307">
        <f>HLOOKUP($A14,'Multi_Family MF 2018'!$C$6:$N$79,J$5,FALSE)</f>
        <v>51.67</v>
      </c>
      <c r="K14" s="307">
        <f>HLOOKUP($A14,'Multi_Family MF 2018'!$C$6:$N$79,K$5,FALSE)</f>
        <v>107.57</v>
      </c>
      <c r="L14" s="311">
        <f>HLOOKUP($A14,'Multi_Family MF 2018'!$C$6:$N$79,L$5,FALSE)</f>
        <v>-134.59</v>
      </c>
      <c r="M14" s="306"/>
    </row>
    <row r="15" spans="1:13" x14ac:dyDescent="0.2">
      <c r="A15" s="313">
        <f>+'Commodity Tonnages MF 2018'!A15</f>
        <v>43131</v>
      </c>
      <c r="B15" s="305"/>
      <c r="C15" s="307">
        <f>HLOOKUP($A15,'Multi_Family MF 2018'!$C$6:$N$79,C$5,FALSE)</f>
        <v>1013.02</v>
      </c>
      <c r="D15" s="311">
        <f>HLOOKUP($A15,'Multi_Family MF 2018'!$C$6:$N$79,D$5,FALSE)</f>
        <v>-9.98</v>
      </c>
      <c r="E15" s="311">
        <f>HLOOKUP($A15,'Multi_Family MF 2018'!$C$6:$N$79,E$5,FALSE)</f>
        <v>0</v>
      </c>
      <c r="F15" s="307">
        <f>HLOOKUP($A15,'Multi_Family MF 2018'!$C$6:$N$79,F$5,FALSE)</f>
        <v>102.96</v>
      </c>
      <c r="G15" s="307">
        <f>HLOOKUP($A15,'Multi_Family MF 2018'!$C$6:$N$79,G$5,FALSE)</f>
        <v>39.799999999999997</v>
      </c>
      <c r="H15" s="307">
        <f>HLOOKUP($A15,'Multi_Family MF 2018'!$C$6:$N$79,H$5,FALSE)</f>
        <v>40.17</v>
      </c>
      <c r="I15" s="307">
        <f>HLOOKUP($A15,'Multi_Family MF 2018'!$C$6:$N$79,I$5,FALSE)</f>
        <v>53.44</v>
      </c>
      <c r="J15" s="307">
        <f>HLOOKUP($A15,'Multi_Family MF 2018'!$C$6:$N$79,J$5,FALSE)</f>
        <v>53.44</v>
      </c>
      <c r="K15" s="307">
        <f>HLOOKUP($A15,'Multi_Family MF 2018'!$C$6:$N$79,K$5,FALSE)</f>
        <v>105.09</v>
      </c>
      <c r="L15" s="311">
        <f>HLOOKUP($A15,'Multi_Family MF 2018'!$C$6:$N$79,L$5,FALSE)</f>
        <v>-134.59</v>
      </c>
      <c r="M15" s="306"/>
    </row>
    <row r="16" spans="1:13" x14ac:dyDescent="0.2">
      <c r="A16" s="313">
        <f>+'Commodity Tonnages MF 2018'!A16</f>
        <v>43159</v>
      </c>
      <c r="B16" s="305"/>
      <c r="C16" s="307">
        <f>HLOOKUP($A16,'Multi_Family MF 2018'!$C$6:$N$79,C$5,FALSE)</f>
        <v>988.19</v>
      </c>
      <c r="D16" s="311">
        <f>HLOOKUP($A16,'Multi_Family MF 2018'!$C$6:$N$79,D$5,FALSE)</f>
        <v>-8.01</v>
      </c>
      <c r="E16" s="311">
        <f>HLOOKUP($A16,'Multi_Family MF 2018'!$C$6:$N$79,E$5,FALSE)</f>
        <v>0</v>
      </c>
      <c r="F16" s="307">
        <f>HLOOKUP($A16,'Multi_Family MF 2018'!$C$6:$N$79,F$5,FALSE)</f>
        <v>92.72</v>
      </c>
      <c r="G16" s="307">
        <f>HLOOKUP($A16,'Multi_Family MF 2018'!$C$6:$N$79,G$5,FALSE)</f>
        <v>-18.13</v>
      </c>
      <c r="H16" s="307">
        <f>HLOOKUP($A16,'Multi_Family MF 2018'!$C$6:$N$79,H$5,FALSE)</f>
        <v>-21.81</v>
      </c>
      <c r="I16" s="307">
        <f>HLOOKUP($A16,'Multi_Family MF 2018'!$C$6:$N$79,I$5,FALSE)</f>
        <v>85.33</v>
      </c>
      <c r="J16" s="307">
        <f>HLOOKUP($A16,'Multi_Family MF 2018'!$C$6:$N$79,J$5,FALSE)</f>
        <v>85.33</v>
      </c>
      <c r="K16" s="307">
        <f>HLOOKUP($A16,'Multi_Family MF 2018'!$C$6:$N$79,K$5,FALSE)</f>
        <v>62.76</v>
      </c>
      <c r="L16" s="311">
        <f>HLOOKUP($A16,'Multi_Family MF 2018'!$C$6:$N$79,L$5,FALSE)</f>
        <v>-134.59</v>
      </c>
      <c r="M16" s="306"/>
    </row>
    <row r="17" spans="1:14" x14ac:dyDescent="0.2">
      <c r="A17" s="313">
        <f>+'Commodity Tonnages MF 2018'!A17</f>
        <v>43190</v>
      </c>
      <c r="B17" s="305"/>
      <c r="C17" s="307">
        <f>HLOOKUP($A17,'Multi_Family MF 2018'!$C$6:$N$79,C$5,FALSE)</f>
        <v>977.91</v>
      </c>
      <c r="D17" s="311">
        <f>HLOOKUP($A17,'Multi_Family MF 2018'!$C$6:$N$79,D$5,FALSE)</f>
        <v>-9</v>
      </c>
      <c r="E17" s="311">
        <f>HLOOKUP($A17,'Multi_Family MF 2018'!$C$6:$N$79,E$5,FALSE)</f>
        <v>0</v>
      </c>
      <c r="F17" s="307">
        <f>HLOOKUP($A17,'Multi_Family MF 2018'!$C$6:$N$79,F$5,FALSE)</f>
        <v>106.7</v>
      </c>
      <c r="G17" s="307">
        <f>HLOOKUP($A17,'Multi_Family MF 2018'!$C$6:$N$79,G$5,FALSE)</f>
        <v>-16.23</v>
      </c>
      <c r="H17" s="307">
        <f>HLOOKUP($A17,'Multi_Family MF 2018'!$C$6:$N$79,H$5,FALSE)</f>
        <v>-21.39</v>
      </c>
      <c r="I17" s="307">
        <f>HLOOKUP($A17,'Multi_Family MF 2018'!$C$6:$N$79,I$5,FALSE)</f>
        <v>105.24</v>
      </c>
      <c r="J17" s="307">
        <f>HLOOKUP($A17,'Multi_Family MF 2018'!$C$6:$N$79,J$5,FALSE)</f>
        <v>105.24</v>
      </c>
      <c r="K17" s="307">
        <f>HLOOKUP($A17,'Multi_Family MF 2018'!$C$6:$N$79,K$5,FALSE)</f>
        <v>56.69</v>
      </c>
      <c r="L17" s="311">
        <f>HLOOKUP($A17,'Multi_Family MF 2018'!$C$6:$N$79,L$5,FALSE)</f>
        <v>-134.59</v>
      </c>
      <c r="M17" s="306"/>
    </row>
    <row r="18" spans="1:14" x14ac:dyDescent="0.2">
      <c r="A18" s="313">
        <f>+'Commodity Tonnages MF 2018'!A18</f>
        <v>43220</v>
      </c>
      <c r="B18" s="305"/>
      <c r="C18" s="307">
        <f>HLOOKUP($A18,'Multi_Family MF 2018'!$C$6:$N$79,C$5,FALSE)</f>
        <v>989.87</v>
      </c>
      <c r="D18" s="311">
        <f>HLOOKUP($A18,'Multi_Family MF 2018'!$C$6:$N$79,D$5,FALSE)</f>
        <v>-10.23</v>
      </c>
      <c r="E18" s="311">
        <f>HLOOKUP($A18,'Multi_Family MF 2018'!$C$6:$N$79,E$5,FALSE)</f>
        <v>0</v>
      </c>
      <c r="F18" s="307">
        <f>HLOOKUP($A18,'Multi_Family MF 2018'!$C$6:$N$79,F$5,FALSE)</f>
        <v>109.51</v>
      </c>
      <c r="G18" s="307">
        <f>HLOOKUP($A18,'Multi_Family MF 2018'!$C$6:$N$79,G$5,FALSE)</f>
        <v>0</v>
      </c>
      <c r="H18" s="307">
        <f>HLOOKUP($A18,'Multi_Family MF 2018'!$C$6:$N$79,H$5,FALSE)</f>
        <v>-20.59</v>
      </c>
      <c r="I18" s="307">
        <f>HLOOKUP($A18,'Multi_Family MF 2018'!$C$6:$N$79,I$5,FALSE)</f>
        <v>107.91</v>
      </c>
      <c r="J18" s="307">
        <f>HLOOKUP($A18,'Multi_Family MF 2018'!$C$6:$N$79,J$5,FALSE)</f>
        <v>107.91</v>
      </c>
      <c r="K18" s="307">
        <f>HLOOKUP($A18,'Multi_Family MF 2018'!$C$6:$N$79,K$5,FALSE)</f>
        <v>57.61</v>
      </c>
      <c r="L18" s="311">
        <f>HLOOKUP($A18,'Multi_Family MF 2018'!$C$6:$N$79,L$5,FALSE)</f>
        <v>-134.59</v>
      </c>
      <c r="M18" s="306"/>
    </row>
    <row r="19" spans="1:14" x14ac:dyDescent="0.2">
      <c r="A19" s="305"/>
      <c r="B19" s="305"/>
      <c r="C19" s="306"/>
      <c r="D19" s="306"/>
      <c r="E19" s="306"/>
      <c r="F19" s="306"/>
      <c r="G19" s="306"/>
      <c r="H19" s="306"/>
      <c r="I19" s="306"/>
      <c r="J19" s="306"/>
      <c r="K19" s="306"/>
      <c r="L19" s="305"/>
      <c r="M19" s="306"/>
    </row>
    <row r="20" spans="1:14" x14ac:dyDescent="0.2">
      <c r="A20" s="310"/>
      <c r="B20" s="305"/>
      <c r="C20" s="306"/>
      <c r="D20" s="306"/>
      <c r="E20" s="306"/>
      <c r="F20" s="306"/>
      <c r="G20" s="306"/>
      <c r="H20" s="306"/>
      <c r="I20" s="306"/>
      <c r="J20" s="306"/>
      <c r="K20" s="306"/>
      <c r="L20" s="306"/>
      <c r="M20" s="306"/>
      <c r="N20" s="306" t="s">
        <v>31</v>
      </c>
    </row>
    <row r="21" spans="1:14" x14ac:dyDescent="0.2">
      <c r="A21" s="305"/>
      <c r="B21" s="305"/>
      <c r="C21" s="305"/>
      <c r="D21" s="305"/>
      <c r="E21" s="305"/>
      <c r="F21" s="305"/>
      <c r="G21" s="305"/>
      <c r="H21" s="305"/>
      <c r="I21" s="305"/>
      <c r="J21" s="305"/>
      <c r="K21" s="305"/>
      <c r="L21" s="305"/>
      <c r="M21" s="306"/>
    </row>
    <row r="22" spans="1:14" x14ac:dyDescent="0.2">
      <c r="A22" s="305"/>
      <c r="B22" s="305"/>
      <c r="C22" s="305"/>
      <c r="D22" s="305"/>
      <c r="E22" s="305"/>
      <c r="F22" s="305"/>
      <c r="G22" s="305"/>
      <c r="H22" s="305"/>
      <c r="I22" s="305"/>
      <c r="J22" s="305"/>
      <c r="K22" s="305"/>
      <c r="L22" s="305"/>
      <c r="M22" s="306"/>
    </row>
    <row r="23" spans="1:14" x14ac:dyDescent="0.2">
      <c r="A23" s="305"/>
      <c r="B23" s="305"/>
      <c r="C23" s="305"/>
      <c r="D23" s="305"/>
      <c r="E23" s="305"/>
      <c r="F23" s="305"/>
      <c r="G23" s="305"/>
      <c r="H23" s="305"/>
      <c r="I23" s="305"/>
      <c r="J23" s="305"/>
      <c r="K23" s="305"/>
      <c r="L23" s="305"/>
      <c r="M23" s="306"/>
    </row>
    <row r="24" spans="1:14" x14ac:dyDescent="0.2">
      <c r="A24" s="305"/>
      <c r="B24" s="305"/>
      <c r="C24" s="305"/>
      <c r="D24" s="305"/>
      <c r="E24" s="305"/>
      <c r="F24" s="305"/>
      <c r="G24" s="305"/>
      <c r="H24" s="305"/>
      <c r="I24" s="305"/>
      <c r="J24" s="305"/>
      <c r="K24" s="305"/>
      <c r="L24" s="305"/>
      <c r="M24" s="306"/>
    </row>
    <row r="25" spans="1:14" x14ac:dyDescent="0.2">
      <c r="A25" s="305"/>
      <c r="B25" s="305"/>
      <c r="C25" s="305"/>
      <c r="D25" s="305"/>
      <c r="E25" s="305"/>
      <c r="F25" s="305"/>
      <c r="G25" s="305"/>
      <c r="H25" s="305"/>
      <c r="I25" s="305"/>
      <c r="J25" s="305"/>
      <c r="K25" s="305"/>
      <c r="L25" s="305"/>
      <c r="M25" s="306"/>
    </row>
    <row r="26" spans="1:14" x14ac:dyDescent="0.2">
      <c r="A26" s="305"/>
      <c r="B26" s="305"/>
      <c r="C26" s="305"/>
      <c r="D26" s="305"/>
      <c r="E26" s="305"/>
      <c r="F26" s="305"/>
      <c r="G26" s="305"/>
      <c r="H26" s="305"/>
      <c r="I26" s="305"/>
      <c r="J26" s="305"/>
      <c r="K26" s="305"/>
      <c r="L26" s="305"/>
      <c r="M26" s="306"/>
    </row>
    <row r="27" spans="1:14" x14ac:dyDescent="0.2">
      <c r="A27" s="305"/>
      <c r="B27" s="305"/>
      <c r="C27" s="305"/>
      <c r="D27" s="305"/>
      <c r="E27" s="305"/>
      <c r="F27" s="305"/>
      <c r="G27" s="305"/>
      <c r="H27" s="305"/>
      <c r="I27" s="305"/>
      <c r="J27" s="305"/>
      <c r="K27" s="305"/>
      <c r="L27" s="305"/>
      <c r="M27" s="306"/>
    </row>
    <row r="28" spans="1:14" x14ac:dyDescent="0.2">
      <c r="A28" s="305"/>
      <c r="B28" s="305"/>
      <c r="C28" s="305"/>
      <c r="D28" s="305"/>
      <c r="E28" s="305"/>
      <c r="F28" s="305"/>
      <c r="G28" s="305"/>
      <c r="H28" s="305"/>
      <c r="I28" s="305"/>
      <c r="J28" s="305"/>
      <c r="K28" s="305"/>
      <c r="L28" s="305"/>
      <c r="M28" s="306"/>
    </row>
    <row r="29" spans="1:14" x14ac:dyDescent="0.2">
      <c r="A29" s="305"/>
      <c r="B29" s="305"/>
      <c r="C29" s="305"/>
      <c r="D29" s="305"/>
      <c r="E29" s="305"/>
      <c r="F29" s="305"/>
      <c r="G29" s="305"/>
      <c r="H29" s="305"/>
      <c r="I29" s="305"/>
      <c r="J29" s="305"/>
      <c r="K29" s="305"/>
      <c r="L29" s="305"/>
      <c r="M29" s="306"/>
    </row>
    <row r="30" spans="1:14" x14ac:dyDescent="0.2">
      <c r="A30" s="305"/>
      <c r="B30" s="305"/>
      <c r="C30" s="305"/>
      <c r="D30" s="305"/>
      <c r="E30" s="305"/>
      <c r="F30" s="305"/>
      <c r="G30" s="305"/>
      <c r="H30" s="305"/>
      <c r="I30" s="305"/>
      <c r="J30" s="305"/>
      <c r="K30" s="305"/>
      <c r="L30" s="305"/>
      <c r="M30" s="306"/>
    </row>
    <row r="31" spans="1:14" x14ac:dyDescent="0.2">
      <c r="A31" s="305"/>
      <c r="B31" s="305"/>
      <c r="C31" s="305"/>
      <c r="D31" s="305"/>
      <c r="E31" s="305"/>
      <c r="F31" s="305"/>
      <c r="G31" s="305"/>
      <c r="H31" s="305"/>
      <c r="I31" s="305"/>
      <c r="J31" s="305"/>
      <c r="K31" s="305"/>
      <c r="L31" s="305"/>
      <c r="M31" s="305"/>
    </row>
    <row r="32" spans="1:14" x14ac:dyDescent="0.2">
      <c r="A32" s="305"/>
      <c r="B32" s="305"/>
      <c r="C32" s="305"/>
      <c r="D32" s="305"/>
      <c r="E32" s="305"/>
      <c r="F32" s="305"/>
      <c r="G32" s="305"/>
      <c r="H32" s="305"/>
      <c r="I32" s="305"/>
      <c r="J32" s="305"/>
      <c r="K32" s="305"/>
      <c r="L32" s="305"/>
      <c r="M32" s="305"/>
    </row>
    <row r="33" spans="1:13" x14ac:dyDescent="0.2">
      <c r="A33" s="305"/>
      <c r="B33" s="305"/>
      <c r="C33" s="305"/>
      <c r="D33" s="305"/>
      <c r="E33" s="305"/>
      <c r="F33" s="305"/>
      <c r="G33" s="305"/>
      <c r="H33" s="305"/>
      <c r="I33" s="305"/>
      <c r="J33" s="305"/>
      <c r="K33" s="305"/>
      <c r="L33" s="305"/>
      <c r="M33" s="305"/>
    </row>
    <row r="34" spans="1:13" x14ac:dyDescent="0.2">
      <c r="A34" s="305"/>
      <c r="B34" s="305"/>
      <c r="C34" s="305"/>
      <c r="D34" s="305"/>
      <c r="E34" s="305"/>
      <c r="F34" s="305"/>
      <c r="G34" s="305"/>
      <c r="H34" s="305"/>
      <c r="I34" s="305"/>
      <c r="J34" s="305"/>
      <c r="K34" s="305"/>
      <c r="L34" s="305"/>
      <c r="M34" s="305"/>
    </row>
    <row r="35" spans="1:13" x14ac:dyDescent="0.2">
      <c r="A35" s="305"/>
      <c r="B35" s="305"/>
      <c r="C35" s="305"/>
      <c r="D35" s="305"/>
      <c r="E35" s="305"/>
      <c r="F35" s="305"/>
      <c r="G35" s="305"/>
      <c r="H35" s="305"/>
      <c r="I35" s="305"/>
      <c r="J35" s="305"/>
      <c r="K35" s="305"/>
      <c r="L35" s="305"/>
      <c r="M35" s="305"/>
    </row>
    <row r="36" spans="1:13" x14ac:dyDescent="0.2">
      <c r="A36" s="305"/>
      <c r="B36" s="305"/>
      <c r="C36" s="305"/>
      <c r="D36" s="305"/>
      <c r="E36" s="305"/>
      <c r="F36" s="305"/>
      <c r="G36" s="305"/>
      <c r="H36" s="305"/>
      <c r="I36" s="305"/>
      <c r="J36" s="305"/>
      <c r="K36" s="305"/>
      <c r="L36" s="305"/>
      <c r="M36" s="305"/>
    </row>
    <row r="37" spans="1:13" x14ac:dyDescent="0.2">
      <c r="A37" s="305"/>
      <c r="B37" s="305"/>
      <c r="C37" s="305"/>
      <c r="D37" s="305"/>
      <c r="E37" s="305"/>
      <c r="F37" s="305"/>
      <c r="G37" s="305"/>
      <c r="H37" s="305"/>
      <c r="I37" s="305"/>
      <c r="J37" s="305"/>
      <c r="K37" s="305"/>
      <c r="L37" s="305"/>
      <c r="M37" s="305"/>
    </row>
    <row r="38" spans="1:13" x14ac:dyDescent="0.2">
      <c r="A38" s="305"/>
      <c r="B38" s="305"/>
      <c r="C38" s="305"/>
      <c r="D38" s="305"/>
      <c r="E38" s="305"/>
      <c r="F38" s="305"/>
      <c r="G38" s="305"/>
      <c r="H38" s="305"/>
      <c r="I38" s="305"/>
      <c r="J38" s="305"/>
      <c r="K38" s="305"/>
      <c r="L38" s="305"/>
      <c r="M38" s="305"/>
    </row>
    <row r="39" spans="1:13" x14ac:dyDescent="0.2">
      <c r="A39" s="305"/>
      <c r="B39" s="305"/>
      <c r="C39" s="305"/>
      <c r="D39" s="305"/>
      <c r="E39" s="305"/>
      <c r="F39" s="305"/>
      <c r="G39" s="305"/>
      <c r="H39" s="305"/>
      <c r="I39" s="305"/>
      <c r="J39" s="305"/>
      <c r="K39" s="305"/>
      <c r="L39" s="305"/>
      <c r="M39" s="305"/>
    </row>
    <row r="40" spans="1:13" x14ac:dyDescent="0.2">
      <c r="A40" s="305"/>
      <c r="B40" s="305"/>
      <c r="C40" s="305"/>
      <c r="D40" s="305"/>
      <c r="E40" s="305"/>
      <c r="F40" s="305"/>
      <c r="G40" s="305"/>
      <c r="H40" s="305"/>
      <c r="I40" s="305"/>
      <c r="J40" s="305"/>
      <c r="K40" s="305"/>
      <c r="L40" s="305"/>
      <c r="M40" s="305"/>
    </row>
    <row r="41" spans="1:13" x14ac:dyDescent="0.2">
      <c r="A41" s="305"/>
      <c r="B41" s="305"/>
      <c r="C41" s="305"/>
      <c r="D41" s="305"/>
      <c r="E41" s="305"/>
      <c r="F41" s="305"/>
      <c r="G41" s="305"/>
      <c r="H41" s="305"/>
      <c r="I41" s="305"/>
      <c r="J41" s="305"/>
      <c r="K41" s="305"/>
      <c r="L41" s="305"/>
      <c r="M41" s="305"/>
    </row>
    <row r="42" spans="1:13" x14ac:dyDescent="0.2">
      <c r="A42" s="305"/>
      <c r="B42" s="305"/>
      <c r="C42" s="305"/>
      <c r="D42" s="305"/>
      <c r="E42" s="305"/>
      <c r="F42" s="305"/>
      <c r="G42" s="305"/>
      <c r="H42" s="305"/>
      <c r="I42" s="305"/>
      <c r="J42" s="305"/>
      <c r="K42" s="305"/>
      <c r="L42" s="305"/>
      <c r="M42" s="305"/>
    </row>
    <row r="43" spans="1:13" x14ac:dyDescent="0.2">
      <c r="A43" s="305"/>
      <c r="B43" s="305"/>
      <c r="C43" s="305"/>
      <c r="D43" s="305"/>
      <c r="E43" s="305"/>
      <c r="F43" s="305"/>
      <c r="G43" s="305"/>
      <c r="H43" s="305"/>
      <c r="I43" s="305"/>
      <c r="J43" s="305"/>
      <c r="K43" s="305"/>
      <c r="L43" s="305"/>
      <c r="M43" s="305"/>
    </row>
    <row r="44" spans="1:13" x14ac:dyDescent="0.2">
      <c r="A44" s="305"/>
      <c r="B44" s="305"/>
      <c r="C44" s="305"/>
      <c r="D44" s="305"/>
      <c r="E44" s="305"/>
      <c r="F44" s="305"/>
      <c r="G44" s="305"/>
      <c r="H44" s="305"/>
      <c r="I44" s="305"/>
      <c r="J44" s="305"/>
      <c r="K44" s="305"/>
      <c r="L44" s="305"/>
      <c r="M44" s="305"/>
    </row>
    <row r="45" spans="1:13" x14ac:dyDescent="0.2">
      <c r="A45" s="305"/>
      <c r="B45" s="305"/>
      <c r="C45" s="305"/>
      <c r="D45" s="305"/>
      <c r="E45" s="305"/>
      <c r="F45" s="305"/>
      <c r="G45" s="305"/>
      <c r="H45" s="305"/>
      <c r="I45" s="305"/>
      <c r="J45" s="305"/>
      <c r="K45" s="305"/>
      <c r="L45" s="305"/>
      <c r="M45" s="305"/>
    </row>
    <row r="46" spans="1:13" x14ac:dyDescent="0.2">
      <c r="A46" s="305"/>
      <c r="B46" s="305"/>
      <c r="C46" s="305"/>
      <c r="D46" s="305"/>
      <c r="E46" s="305"/>
      <c r="F46" s="305"/>
      <c r="G46" s="305"/>
      <c r="H46" s="305"/>
      <c r="I46" s="305"/>
      <c r="J46" s="305"/>
      <c r="K46" s="305"/>
      <c r="L46" s="305"/>
      <c r="M46" s="305"/>
    </row>
    <row r="47" spans="1:13" x14ac:dyDescent="0.2">
      <c r="A47" s="305"/>
      <c r="B47" s="305"/>
      <c r="C47" s="305"/>
      <c r="D47" s="305"/>
      <c r="E47" s="305"/>
      <c r="F47" s="305"/>
      <c r="G47" s="305"/>
      <c r="H47" s="305"/>
      <c r="I47" s="305"/>
      <c r="J47" s="305"/>
      <c r="K47" s="305"/>
      <c r="L47" s="305"/>
      <c r="M47" s="305"/>
    </row>
    <row r="48" spans="1:13" x14ac:dyDescent="0.2">
      <c r="A48" s="305"/>
      <c r="B48" s="305"/>
      <c r="C48" s="305"/>
      <c r="D48" s="305"/>
      <c r="E48" s="305"/>
      <c r="F48" s="305"/>
      <c r="G48" s="305"/>
      <c r="H48" s="305"/>
      <c r="I48" s="305"/>
      <c r="J48" s="305"/>
      <c r="K48" s="305"/>
      <c r="L48" s="305"/>
      <c r="M48" s="305"/>
    </row>
    <row r="49" spans="1:13" x14ac:dyDescent="0.2">
      <c r="A49" s="305"/>
      <c r="B49" s="305"/>
      <c r="C49" s="305"/>
      <c r="D49" s="305"/>
      <c r="E49" s="305"/>
      <c r="F49" s="305"/>
      <c r="G49" s="305"/>
      <c r="H49" s="305"/>
      <c r="I49" s="305"/>
      <c r="J49" s="305"/>
      <c r="K49" s="305"/>
      <c r="L49" s="305"/>
      <c r="M49" s="305"/>
    </row>
    <row r="50" spans="1:13" x14ac:dyDescent="0.2">
      <c r="A50" s="305"/>
      <c r="B50" s="305"/>
      <c r="C50" s="305"/>
      <c r="D50" s="305"/>
      <c r="E50" s="305"/>
      <c r="F50" s="305"/>
      <c r="G50" s="305"/>
      <c r="H50" s="305"/>
      <c r="I50" s="305"/>
      <c r="J50" s="305"/>
      <c r="K50" s="305"/>
      <c r="L50" s="305"/>
      <c r="M50" s="305"/>
    </row>
    <row r="51" spans="1:13" x14ac:dyDescent="0.2">
      <c r="A51" s="305"/>
      <c r="B51" s="305"/>
      <c r="C51" s="305"/>
      <c r="D51" s="305"/>
      <c r="E51" s="305"/>
      <c r="F51" s="305"/>
      <c r="G51" s="305"/>
      <c r="H51" s="305"/>
      <c r="I51" s="305"/>
      <c r="J51" s="305"/>
      <c r="K51" s="305"/>
      <c r="L51" s="305"/>
      <c r="M51" s="305"/>
    </row>
    <row r="52" spans="1:13" x14ac:dyDescent="0.2">
      <c r="A52" s="305"/>
      <c r="B52" s="305"/>
      <c r="C52" s="305"/>
      <c r="D52" s="305"/>
      <c r="E52" s="305"/>
      <c r="F52" s="305"/>
      <c r="G52" s="305"/>
      <c r="H52" s="305"/>
      <c r="I52" s="305"/>
      <c r="J52" s="305"/>
      <c r="K52" s="305"/>
      <c r="L52" s="305"/>
      <c r="M52" s="305"/>
    </row>
    <row r="53" spans="1:13" x14ac:dyDescent="0.2">
      <c r="A53" s="305"/>
      <c r="B53" s="305"/>
      <c r="C53" s="305"/>
      <c r="D53" s="305"/>
      <c r="E53" s="305"/>
      <c r="F53" s="305"/>
      <c r="G53" s="305"/>
      <c r="H53" s="305"/>
      <c r="I53" s="305"/>
      <c r="J53" s="305"/>
      <c r="K53" s="305"/>
      <c r="L53" s="305"/>
      <c r="M53" s="305"/>
    </row>
    <row r="54" spans="1:13" x14ac:dyDescent="0.2">
      <c r="A54" s="305"/>
      <c r="B54" s="305"/>
      <c r="C54" s="305"/>
      <c r="D54" s="305"/>
      <c r="E54" s="305"/>
      <c r="F54" s="305"/>
      <c r="G54" s="305"/>
      <c r="H54" s="305"/>
      <c r="I54" s="305"/>
      <c r="J54" s="305"/>
      <c r="K54" s="305"/>
      <c r="L54" s="305"/>
      <c r="M54" s="305"/>
    </row>
    <row r="55" spans="1:13" x14ac:dyDescent="0.2">
      <c r="A55" s="305"/>
      <c r="B55" s="305"/>
      <c r="C55" s="305"/>
      <c r="D55" s="305"/>
      <c r="E55" s="305"/>
      <c r="F55" s="305"/>
      <c r="G55" s="305"/>
      <c r="H55" s="305"/>
      <c r="I55" s="305"/>
      <c r="J55" s="305"/>
      <c r="K55" s="305"/>
      <c r="L55" s="305"/>
      <c r="M55" s="305"/>
    </row>
    <row r="56" spans="1:13" x14ac:dyDescent="0.2">
      <c r="A56" s="305"/>
      <c r="B56" s="305"/>
      <c r="C56" s="305"/>
      <c r="D56" s="305"/>
      <c r="E56" s="305"/>
      <c r="F56" s="305"/>
      <c r="G56" s="305"/>
      <c r="H56" s="305"/>
      <c r="I56" s="305"/>
      <c r="J56" s="305"/>
      <c r="K56" s="305"/>
      <c r="L56" s="305"/>
      <c r="M56" s="305"/>
    </row>
    <row r="57" spans="1:13" x14ac:dyDescent="0.2">
      <c r="A57" s="305"/>
      <c r="B57" s="305"/>
      <c r="C57" s="305"/>
      <c r="D57" s="305"/>
      <c r="E57" s="305"/>
      <c r="F57" s="305"/>
      <c r="G57" s="305"/>
      <c r="H57" s="305"/>
      <c r="I57" s="305"/>
      <c r="J57" s="305"/>
      <c r="K57" s="305"/>
      <c r="L57" s="305"/>
      <c r="M57" s="305"/>
    </row>
    <row r="58" spans="1:13" x14ac:dyDescent="0.2">
      <c r="A58" s="305"/>
      <c r="B58" s="305"/>
      <c r="C58" s="305"/>
      <c r="D58" s="305"/>
      <c r="E58" s="305"/>
      <c r="F58" s="305"/>
      <c r="G58" s="305"/>
      <c r="H58" s="305"/>
      <c r="I58" s="305"/>
      <c r="J58" s="305"/>
      <c r="K58" s="305"/>
      <c r="L58" s="305"/>
      <c r="M58" s="305"/>
    </row>
    <row r="59" spans="1:13" x14ac:dyDescent="0.2">
      <c r="A59" s="305"/>
      <c r="B59" s="305"/>
      <c r="C59" s="305"/>
      <c r="D59" s="305"/>
      <c r="E59" s="305"/>
      <c r="F59" s="305"/>
      <c r="G59" s="305"/>
      <c r="H59" s="305"/>
      <c r="I59" s="305"/>
      <c r="J59" s="305"/>
      <c r="K59" s="305"/>
      <c r="L59" s="305"/>
      <c r="M59" s="305"/>
    </row>
    <row r="60" spans="1:13" x14ac:dyDescent="0.2">
      <c r="A60" s="305"/>
      <c r="B60" s="305"/>
      <c r="C60" s="305"/>
      <c r="D60" s="305"/>
      <c r="E60" s="305"/>
      <c r="F60" s="305"/>
      <c r="G60" s="305"/>
      <c r="H60" s="305"/>
      <c r="I60" s="305"/>
      <c r="J60" s="305"/>
      <c r="K60" s="305"/>
      <c r="L60" s="305"/>
      <c r="M60" s="305"/>
    </row>
    <row r="61" spans="1:13" x14ac:dyDescent="0.2">
      <c r="A61" s="305"/>
      <c r="B61" s="305"/>
      <c r="C61" s="305"/>
      <c r="D61" s="305"/>
      <c r="E61" s="305"/>
      <c r="F61" s="305"/>
      <c r="G61" s="305"/>
      <c r="H61" s="305"/>
      <c r="I61" s="305"/>
      <c r="J61" s="305"/>
      <c r="K61" s="305"/>
      <c r="L61" s="305"/>
      <c r="M61" s="305"/>
    </row>
    <row r="62" spans="1:13" x14ac:dyDescent="0.2">
      <c r="A62" s="305"/>
      <c r="B62" s="305"/>
      <c r="C62" s="305"/>
      <c r="D62" s="305"/>
      <c r="E62" s="305"/>
      <c r="F62" s="305"/>
      <c r="G62" s="305"/>
      <c r="H62" s="305"/>
      <c r="I62" s="305"/>
      <c r="J62" s="305"/>
      <c r="K62" s="305"/>
      <c r="L62" s="305"/>
      <c r="M62" s="305"/>
    </row>
    <row r="63" spans="1:13" x14ac:dyDescent="0.2">
      <c r="A63" s="305"/>
      <c r="B63" s="305"/>
      <c r="C63" s="305"/>
      <c r="D63" s="305"/>
      <c r="E63" s="305"/>
      <c r="F63" s="305"/>
      <c r="G63" s="305"/>
      <c r="H63" s="305"/>
      <c r="I63" s="305"/>
      <c r="J63" s="305"/>
      <c r="K63" s="305"/>
      <c r="L63" s="305"/>
      <c r="M63" s="305"/>
    </row>
    <row r="64" spans="1:13" x14ac:dyDescent="0.2">
      <c r="A64" s="305"/>
      <c r="B64" s="305"/>
      <c r="C64" s="305"/>
      <c r="D64" s="305"/>
      <c r="E64" s="305"/>
      <c r="F64" s="305"/>
      <c r="G64" s="305"/>
      <c r="H64" s="305"/>
      <c r="I64" s="305"/>
      <c r="J64" s="305"/>
      <c r="K64" s="305"/>
      <c r="L64" s="305"/>
      <c r="M64" s="305"/>
    </row>
    <row r="65" spans="1:13" x14ac:dyDescent="0.2">
      <c r="A65" s="305"/>
      <c r="B65" s="305"/>
      <c r="C65" s="305"/>
      <c r="D65" s="305"/>
      <c r="E65" s="305"/>
      <c r="F65" s="305"/>
      <c r="G65" s="305"/>
      <c r="H65" s="305"/>
      <c r="I65" s="305"/>
      <c r="J65" s="305"/>
      <c r="K65" s="305"/>
      <c r="L65" s="305"/>
      <c r="M65" s="305"/>
    </row>
    <row r="66" spans="1:13" x14ac:dyDescent="0.2">
      <c r="A66" s="305"/>
      <c r="B66" s="305"/>
      <c r="C66" s="305"/>
      <c r="D66" s="305"/>
      <c r="E66" s="305"/>
      <c r="F66" s="305"/>
      <c r="G66" s="305"/>
      <c r="H66" s="305"/>
      <c r="I66" s="305"/>
      <c r="J66" s="305"/>
      <c r="K66" s="305"/>
      <c r="L66" s="305"/>
      <c r="M66" s="305"/>
    </row>
    <row r="67" spans="1:13" x14ac:dyDescent="0.2">
      <c r="A67" s="305"/>
      <c r="B67" s="305"/>
      <c r="C67" s="305"/>
      <c r="D67" s="305"/>
      <c r="E67" s="305"/>
      <c r="F67" s="305"/>
      <c r="G67" s="305"/>
      <c r="H67" s="305"/>
      <c r="I67" s="305"/>
      <c r="J67" s="305"/>
      <c r="K67" s="305"/>
      <c r="L67" s="305"/>
      <c r="M67" s="305"/>
    </row>
    <row r="68" spans="1:13" x14ac:dyDescent="0.2">
      <c r="A68" s="305"/>
      <c r="B68" s="305"/>
      <c r="C68" s="305"/>
      <c r="D68" s="305"/>
      <c r="E68" s="305"/>
      <c r="F68" s="305"/>
      <c r="G68" s="305"/>
      <c r="H68" s="305"/>
      <c r="I68" s="305"/>
      <c r="J68" s="305"/>
      <c r="K68" s="305"/>
      <c r="L68" s="305"/>
      <c r="M68" s="305"/>
    </row>
    <row r="69" spans="1:13" x14ac:dyDescent="0.2">
      <c r="A69" s="305"/>
      <c r="B69" s="305"/>
      <c r="C69" s="305"/>
      <c r="D69" s="305"/>
      <c r="E69" s="305"/>
      <c r="F69" s="305"/>
      <c r="G69" s="305"/>
      <c r="H69" s="305"/>
      <c r="I69" s="305"/>
      <c r="J69" s="305"/>
      <c r="K69" s="305"/>
      <c r="L69" s="305"/>
      <c r="M69" s="305"/>
    </row>
    <row r="70" spans="1:13" x14ac:dyDescent="0.2">
      <c r="A70" s="305"/>
      <c r="B70" s="305"/>
      <c r="C70" s="305"/>
      <c r="D70" s="305"/>
      <c r="E70" s="305"/>
      <c r="F70" s="305"/>
      <c r="G70" s="305"/>
      <c r="H70" s="305"/>
      <c r="I70" s="305"/>
      <c r="J70" s="305"/>
      <c r="K70" s="305"/>
      <c r="L70" s="305"/>
      <c r="M70" s="305"/>
    </row>
    <row r="71" spans="1:13" x14ac:dyDescent="0.2">
      <c r="A71" s="305"/>
      <c r="B71" s="305"/>
      <c r="C71" s="305"/>
      <c r="D71" s="305"/>
      <c r="E71" s="305"/>
      <c r="F71" s="305"/>
      <c r="G71" s="305"/>
      <c r="H71" s="305"/>
      <c r="I71" s="305"/>
      <c r="J71" s="305"/>
      <c r="K71" s="305"/>
      <c r="L71" s="305"/>
      <c r="M71" s="305"/>
    </row>
    <row r="72" spans="1:13" x14ac:dyDescent="0.2">
      <c r="A72" s="305"/>
      <c r="B72" s="305"/>
      <c r="C72" s="305"/>
      <c r="D72" s="305"/>
      <c r="E72" s="305"/>
      <c r="F72" s="305"/>
      <c r="G72" s="305"/>
      <c r="H72" s="305"/>
      <c r="I72" s="305"/>
      <c r="J72" s="305"/>
      <c r="K72" s="305"/>
      <c r="L72" s="305"/>
      <c r="M72" s="305"/>
    </row>
    <row r="73" spans="1:13" x14ac:dyDescent="0.2">
      <c r="A73" s="305"/>
      <c r="B73" s="305"/>
      <c r="C73" s="305"/>
      <c r="D73" s="305"/>
      <c r="E73" s="305"/>
      <c r="F73" s="305"/>
      <c r="G73" s="305"/>
      <c r="H73" s="305"/>
      <c r="I73" s="305"/>
      <c r="J73" s="305"/>
      <c r="K73" s="305"/>
      <c r="L73" s="305"/>
      <c r="M73" s="305"/>
    </row>
    <row r="74" spans="1:13" x14ac:dyDescent="0.2">
      <c r="A74" s="305"/>
      <c r="B74" s="305"/>
      <c r="C74" s="305"/>
      <c r="D74" s="305"/>
      <c r="E74" s="305"/>
      <c r="F74" s="305"/>
      <c r="G74" s="305"/>
      <c r="H74" s="305"/>
      <c r="I74" s="305"/>
      <c r="J74" s="305"/>
      <c r="K74" s="305"/>
      <c r="L74" s="305"/>
      <c r="M74" s="305"/>
    </row>
    <row r="75" spans="1:13" x14ac:dyDescent="0.2">
      <c r="A75" s="305"/>
      <c r="B75" s="305"/>
      <c r="C75" s="305"/>
      <c r="D75" s="305"/>
      <c r="E75" s="305"/>
      <c r="F75" s="305"/>
      <c r="G75" s="305"/>
      <c r="H75" s="305"/>
      <c r="I75" s="305"/>
      <c r="J75" s="305"/>
      <c r="K75" s="305"/>
      <c r="L75" s="305"/>
      <c r="M75" s="305"/>
    </row>
    <row r="76" spans="1:13" x14ac:dyDescent="0.2">
      <c r="A76" s="305"/>
      <c r="B76" s="305"/>
      <c r="C76" s="305"/>
      <c r="D76" s="305"/>
      <c r="E76" s="305"/>
      <c r="F76" s="305"/>
      <c r="G76" s="305"/>
      <c r="H76" s="305"/>
      <c r="I76" s="305"/>
      <c r="J76" s="305"/>
      <c r="K76" s="305"/>
      <c r="L76" s="305"/>
      <c r="M76" s="305"/>
    </row>
    <row r="77" spans="1:13" x14ac:dyDescent="0.2">
      <c r="A77" s="305"/>
      <c r="B77" s="305"/>
      <c r="C77" s="305"/>
      <c r="D77" s="305"/>
      <c r="E77" s="305"/>
      <c r="F77" s="305"/>
      <c r="G77" s="305"/>
      <c r="H77" s="305"/>
      <c r="I77" s="305"/>
      <c r="J77" s="305"/>
      <c r="K77" s="305"/>
      <c r="L77" s="305"/>
      <c r="M77" s="305"/>
    </row>
    <row r="78" spans="1:13" x14ac:dyDescent="0.2">
      <c r="A78" s="305"/>
      <c r="B78" s="305"/>
      <c r="C78" s="305"/>
      <c r="D78" s="305"/>
      <c r="E78" s="305"/>
      <c r="F78" s="305"/>
      <c r="G78" s="305"/>
      <c r="H78" s="305"/>
      <c r="I78" s="305"/>
      <c r="J78" s="305"/>
      <c r="K78" s="305"/>
      <c r="L78" s="305"/>
      <c r="M78" s="305"/>
    </row>
    <row r="79" spans="1:13" x14ac:dyDescent="0.2">
      <c r="A79" s="305"/>
      <c r="B79" s="305"/>
      <c r="C79" s="305"/>
      <c r="D79" s="305"/>
      <c r="E79" s="305"/>
      <c r="F79" s="305"/>
      <c r="G79" s="305"/>
      <c r="H79" s="305"/>
      <c r="I79" s="305"/>
      <c r="J79" s="305"/>
      <c r="K79" s="305"/>
      <c r="L79" s="305"/>
      <c r="M79" s="305"/>
    </row>
    <row r="80" spans="1:13" x14ac:dyDescent="0.2">
      <c r="A80" s="305"/>
      <c r="B80" s="305"/>
      <c r="C80" s="305"/>
      <c r="D80" s="305"/>
      <c r="E80" s="305"/>
      <c r="F80" s="305"/>
      <c r="G80" s="305"/>
      <c r="H80" s="305"/>
      <c r="I80" s="305"/>
      <c r="J80" s="305"/>
      <c r="K80" s="305"/>
      <c r="L80" s="305"/>
      <c r="M80" s="305"/>
    </row>
    <row r="81" spans="1:13" x14ac:dyDescent="0.2">
      <c r="A81" s="305"/>
      <c r="B81" s="305"/>
      <c r="C81" s="305"/>
      <c r="D81" s="305"/>
      <c r="E81" s="305"/>
      <c r="F81" s="305"/>
      <c r="G81" s="305"/>
      <c r="H81" s="305"/>
      <c r="I81" s="305"/>
      <c r="J81" s="305"/>
      <c r="K81" s="305"/>
      <c r="L81" s="305"/>
      <c r="M81" s="305"/>
    </row>
    <row r="82" spans="1:13" x14ac:dyDescent="0.2">
      <c r="A82" s="305"/>
      <c r="B82" s="305"/>
      <c r="C82" s="305"/>
      <c r="D82" s="305"/>
      <c r="E82" s="305"/>
      <c r="F82" s="305"/>
      <c r="G82" s="305"/>
      <c r="H82" s="305"/>
      <c r="I82" s="305"/>
      <c r="J82" s="305"/>
      <c r="K82" s="305"/>
      <c r="L82" s="305"/>
      <c r="M82" s="305"/>
    </row>
    <row r="83" spans="1:13" x14ac:dyDescent="0.2">
      <c r="A83" s="305"/>
      <c r="B83" s="305"/>
      <c r="C83" s="305"/>
      <c r="D83" s="305"/>
      <c r="E83" s="305"/>
      <c r="F83" s="305"/>
      <c r="G83" s="305"/>
      <c r="H83" s="305"/>
      <c r="I83" s="305"/>
      <c r="J83" s="305"/>
      <c r="K83" s="305"/>
      <c r="L83" s="305"/>
      <c r="M83" s="305"/>
    </row>
    <row r="84" spans="1:13" x14ac:dyDescent="0.2">
      <c r="A84" s="305"/>
      <c r="B84" s="305"/>
      <c r="C84" s="305"/>
      <c r="D84" s="305"/>
      <c r="E84" s="305"/>
      <c r="F84" s="305"/>
      <c r="G84" s="305"/>
      <c r="H84" s="305"/>
      <c r="I84" s="305"/>
      <c r="J84" s="305"/>
      <c r="K84" s="305"/>
      <c r="L84" s="305"/>
      <c r="M84" s="305"/>
    </row>
    <row r="85" spans="1:13" x14ac:dyDescent="0.2">
      <c r="A85" s="305"/>
      <c r="B85" s="305"/>
      <c r="C85" s="305"/>
      <c r="D85" s="305"/>
      <c r="E85" s="305"/>
      <c r="F85" s="305"/>
      <c r="G85" s="305"/>
      <c r="H85" s="305"/>
      <c r="I85" s="305"/>
      <c r="J85" s="305"/>
      <c r="K85" s="305"/>
      <c r="L85" s="305"/>
      <c r="M85" s="305"/>
    </row>
    <row r="86" spans="1:13" x14ac:dyDescent="0.2">
      <c r="A86" s="305"/>
      <c r="B86" s="305"/>
      <c r="C86" s="305"/>
      <c r="D86" s="305"/>
      <c r="E86" s="305"/>
      <c r="F86" s="305"/>
      <c r="G86" s="305"/>
      <c r="H86" s="305"/>
      <c r="I86" s="305"/>
      <c r="J86" s="305"/>
      <c r="K86" s="305"/>
      <c r="L86" s="305"/>
      <c r="M86" s="305"/>
    </row>
    <row r="87" spans="1:13" x14ac:dyDescent="0.2">
      <c r="A87" s="305"/>
      <c r="B87" s="305"/>
      <c r="C87" s="305"/>
      <c r="D87" s="305"/>
      <c r="E87" s="305"/>
      <c r="F87" s="305"/>
      <c r="G87" s="305"/>
      <c r="H87" s="305"/>
      <c r="I87" s="305"/>
      <c r="J87" s="305"/>
      <c r="K87" s="305"/>
      <c r="L87" s="305"/>
      <c r="M87" s="305"/>
    </row>
    <row r="88" spans="1:13" x14ac:dyDescent="0.2">
      <c r="A88" s="305"/>
      <c r="B88" s="305"/>
      <c r="C88" s="305"/>
      <c r="D88" s="305"/>
      <c r="E88" s="305"/>
      <c r="F88" s="305"/>
      <c r="G88" s="305"/>
      <c r="H88" s="305"/>
      <c r="I88" s="305"/>
      <c r="J88" s="305"/>
      <c r="K88" s="305"/>
      <c r="L88" s="305"/>
      <c r="M88" s="305"/>
    </row>
    <row r="89" spans="1:13" x14ac:dyDescent="0.2">
      <c r="A89" s="305"/>
      <c r="B89" s="305"/>
      <c r="C89" s="305"/>
      <c r="D89" s="305"/>
      <c r="E89" s="305"/>
      <c r="F89" s="305"/>
      <c r="G89" s="305"/>
      <c r="H89" s="305"/>
      <c r="I89" s="305"/>
      <c r="J89" s="305"/>
      <c r="K89" s="305"/>
      <c r="L89" s="305"/>
      <c r="M89" s="305"/>
    </row>
    <row r="90" spans="1:13" x14ac:dyDescent="0.2">
      <c r="A90" s="305"/>
      <c r="B90" s="305"/>
      <c r="C90" s="305"/>
      <c r="D90" s="305"/>
      <c r="E90" s="305"/>
      <c r="F90" s="305"/>
      <c r="G90" s="305"/>
      <c r="H90" s="305"/>
      <c r="I90" s="305"/>
      <c r="J90" s="305"/>
      <c r="K90" s="305"/>
      <c r="L90" s="305"/>
      <c r="M90" s="305"/>
    </row>
    <row r="91" spans="1:13" x14ac:dyDescent="0.2">
      <c r="A91" s="305"/>
      <c r="B91" s="305"/>
      <c r="C91" s="305"/>
      <c r="D91" s="305"/>
      <c r="E91" s="305"/>
      <c r="F91" s="305"/>
      <c r="G91" s="305"/>
      <c r="H91" s="305"/>
      <c r="I91" s="305"/>
      <c r="J91" s="305"/>
      <c r="K91" s="305"/>
      <c r="L91" s="305"/>
      <c r="M91" s="305"/>
    </row>
    <row r="92" spans="1:13" x14ac:dyDescent="0.2">
      <c r="A92" s="305"/>
      <c r="B92" s="305"/>
      <c r="C92" s="305"/>
      <c r="D92" s="305"/>
      <c r="E92" s="305"/>
      <c r="F92" s="305"/>
      <c r="G92" s="305"/>
      <c r="H92" s="305"/>
      <c r="I92" s="305"/>
      <c r="J92" s="305"/>
      <c r="K92" s="305"/>
      <c r="L92" s="305"/>
      <c r="M92" s="305"/>
    </row>
    <row r="93" spans="1:13" x14ac:dyDescent="0.2">
      <c r="A93" s="305"/>
      <c r="B93" s="305"/>
      <c r="C93" s="305"/>
      <c r="D93" s="305"/>
      <c r="E93" s="305"/>
      <c r="F93" s="305"/>
      <c r="G93" s="305"/>
      <c r="H93" s="305"/>
      <c r="I93" s="305"/>
      <c r="J93" s="305"/>
      <c r="K93" s="305"/>
      <c r="L93" s="305"/>
      <c r="M93" s="305"/>
    </row>
    <row r="94" spans="1:13" x14ac:dyDescent="0.2">
      <c r="A94" s="305"/>
      <c r="B94" s="305"/>
      <c r="C94" s="305"/>
      <c r="D94" s="305"/>
      <c r="E94" s="305"/>
      <c r="F94" s="305"/>
      <c r="G94" s="305"/>
      <c r="H94" s="305"/>
      <c r="I94" s="305"/>
      <c r="J94" s="305"/>
      <c r="K94" s="305"/>
      <c r="L94" s="305"/>
      <c r="M94" s="305"/>
    </row>
    <row r="95" spans="1:13" x14ac:dyDescent="0.2">
      <c r="A95" s="305"/>
      <c r="B95" s="305"/>
      <c r="C95" s="305"/>
      <c r="D95" s="305"/>
      <c r="E95" s="305"/>
      <c r="F95" s="305"/>
      <c r="G95" s="305"/>
      <c r="H95" s="305"/>
      <c r="I95" s="305"/>
      <c r="J95" s="305"/>
      <c r="K95" s="305"/>
      <c r="L95" s="305"/>
      <c r="M95" s="305"/>
    </row>
    <row r="96" spans="1:13" x14ac:dyDescent="0.2">
      <c r="A96" s="305"/>
      <c r="B96" s="305"/>
      <c r="C96" s="305"/>
      <c r="D96" s="305"/>
      <c r="E96" s="305"/>
      <c r="F96" s="305"/>
      <c r="G96" s="305"/>
      <c r="H96" s="305"/>
      <c r="I96" s="305"/>
      <c r="J96" s="305"/>
      <c r="K96" s="305"/>
      <c r="L96" s="305"/>
      <c r="M96" s="305"/>
    </row>
    <row r="97" spans="1:13" x14ac:dyDescent="0.2">
      <c r="A97" s="305"/>
      <c r="B97" s="305"/>
      <c r="C97" s="305"/>
      <c r="D97" s="305"/>
      <c r="E97" s="305"/>
      <c r="F97" s="305"/>
      <c r="G97" s="305"/>
      <c r="H97" s="305"/>
      <c r="I97" s="305"/>
      <c r="J97" s="305"/>
      <c r="K97" s="305"/>
      <c r="L97" s="305"/>
      <c r="M97" s="305"/>
    </row>
    <row r="98" spans="1:13" x14ac:dyDescent="0.2">
      <c r="A98" s="305"/>
      <c r="B98" s="305"/>
      <c r="C98" s="305"/>
      <c r="D98" s="305"/>
      <c r="E98" s="305"/>
      <c r="F98" s="305"/>
      <c r="G98" s="305"/>
      <c r="H98" s="305"/>
      <c r="I98" s="305"/>
      <c r="J98" s="305"/>
      <c r="K98" s="305"/>
      <c r="L98" s="305"/>
      <c r="M98" s="305"/>
    </row>
    <row r="99" spans="1:13" x14ac:dyDescent="0.2">
      <c r="A99" s="305"/>
      <c r="B99" s="305"/>
      <c r="C99" s="305"/>
      <c r="D99" s="305"/>
      <c r="E99" s="305"/>
      <c r="F99" s="305"/>
      <c r="G99" s="305"/>
      <c r="H99" s="305"/>
      <c r="I99" s="305"/>
      <c r="J99" s="305"/>
      <c r="K99" s="305"/>
      <c r="L99" s="305"/>
      <c r="M99" s="305"/>
    </row>
    <row r="100" spans="1:13" x14ac:dyDescent="0.2">
      <c r="A100" s="305"/>
      <c r="B100" s="305"/>
      <c r="C100" s="305"/>
      <c r="D100" s="305"/>
      <c r="E100" s="305"/>
      <c r="F100" s="305"/>
      <c r="G100" s="305"/>
      <c r="H100" s="305"/>
      <c r="I100" s="305"/>
      <c r="J100" s="305"/>
      <c r="K100" s="305"/>
      <c r="L100" s="305"/>
      <c r="M100" s="305"/>
    </row>
    <row r="101" spans="1:13" x14ac:dyDescent="0.2">
      <c r="A101" s="305"/>
      <c r="B101" s="305"/>
      <c r="C101" s="305"/>
      <c r="D101" s="305"/>
      <c r="E101" s="305"/>
      <c r="F101" s="305"/>
      <c r="G101" s="305"/>
      <c r="H101" s="305"/>
      <c r="I101" s="305"/>
      <c r="J101" s="305"/>
      <c r="K101" s="305"/>
      <c r="L101" s="305"/>
      <c r="M101" s="305"/>
    </row>
    <row r="102" spans="1:13" x14ac:dyDescent="0.2">
      <c r="A102" s="305"/>
      <c r="B102" s="305"/>
      <c r="C102" s="305"/>
      <c r="D102" s="305"/>
      <c r="E102" s="305"/>
      <c r="F102" s="305"/>
      <c r="G102" s="305"/>
      <c r="H102" s="305"/>
      <c r="I102" s="305"/>
      <c r="J102" s="305"/>
      <c r="K102" s="305"/>
      <c r="L102" s="305"/>
      <c r="M102" s="305"/>
    </row>
    <row r="103" spans="1:13" x14ac:dyDescent="0.2">
      <c r="A103" s="305"/>
      <c r="B103" s="305"/>
      <c r="C103" s="305"/>
      <c r="D103" s="305"/>
      <c r="E103" s="305"/>
      <c r="F103" s="305"/>
      <c r="G103" s="305"/>
      <c r="H103" s="305"/>
      <c r="I103" s="305"/>
      <c r="J103" s="305"/>
      <c r="K103" s="305"/>
      <c r="L103" s="305"/>
      <c r="M103" s="305"/>
    </row>
    <row r="104" spans="1:13" x14ac:dyDescent="0.2">
      <c r="A104" s="305"/>
      <c r="B104" s="305"/>
      <c r="C104" s="305"/>
      <c r="D104" s="305"/>
      <c r="E104" s="305"/>
      <c r="F104" s="305"/>
      <c r="G104" s="305"/>
      <c r="H104" s="305"/>
      <c r="I104" s="305"/>
      <c r="J104" s="305"/>
      <c r="K104" s="305"/>
      <c r="L104" s="305"/>
      <c r="M104" s="305"/>
    </row>
    <row r="105" spans="1:13" x14ac:dyDescent="0.2">
      <c r="A105" s="305"/>
      <c r="B105" s="305"/>
      <c r="C105" s="305"/>
      <c r="D105" s="305"/>
      <c r="E105" s="305"/>
      <c r="F105" s="305"/>
      <c r="G105" s="305"/>
      <c r="H105" s="305"/>
      <c r="I105" s="305"/>
      <c r="J105" s="305"/>
      <c r="K105" s="305"/>
      <c r="L105" s="305"/>
      <c r="M105" s="305"/>
    </row>
    <row r="106" spans="1:13" x14ac:dyDescent="0.2">
      <c r="A106" s="305"/>
      <c r="B106" s="305"/>
      <c r="C106" s="305"/>
      <c r="D106" s="305"/>
      <c r="E106" s="305"/>
      <c r="F106" s="305"/>
      <c r="G106" s="305"/>
      <c r="H106" s="305"/>
      <c r="I106" s="305"/>
      <c r="J106" s="305"/>
      <c r="K106" s="305"/>
      <c r="L106" s="305"/>
      <c r="M106" s="305"/>
    </row>
    <row r="107" spans="1:13" x14ac:dyDescent="0.2">
      <c r="A107" s="305"/>
      <c r="B107" s="305"/>
      <c r="C107" s="305"/>
      <c r="D107" s="305"/>
      <c r="E107" s="305"/>
      <c r="F107" s="305"/>
      <c r="G107" s="305"/>
      <c r="H107" s="305"/>
      <c r="I107" s="305"/>
      <c r="J107" s="305"/>
      <c r="K107" s="305"/>
      <c r="L107" s="305"/>
      <c r="M107" s="305"/>
    </row>
    <row r="108" spans="1:13" x14ac:dyDescent="0.2">
      <c r="A108" s="305"/>
      <c r="B108" s="305"/>
      <c r="C108" s="305"/>
      <c r="D108" s="305"/>
      <c r="E108" s="305"/>
      <c r="F108" s="305"/>
      <c r="G108" s="305"/>
      <c r="H108" s="305"/>
      <c r="I108" s="305"/>
      <c r="J108" s="305"/>
      <c r="K108" s="305"/>
      <c r="L108" s="305"/>
      <c r="M108" s="305"/>
    </row>
    <row r="109" spans="1:13" x14ac:dyDescent="0.2">
      <c r="A109" s="305"/>
      <c r="B109" s="305"/>
      <c r="C109" s="305"/>
      <c r="D109" s="305"/>
      <c r="E109" s="305"/>
      <c r="F109" s="305"/>
      <c r="G109" s="305"/>
      <c r="H109" s="305"/>
      <c r="I109" s="305"/>
      <c r="J109" s="305"/>
      <c r="K109" s="305"/>
      <c r="L109" s="305"/>
      <c r="M109" s="305"/>
    </row>
    <row r="110" spans="1:13" x14ac:dyDescent="0.2">
      <c r="A110" s="305"/>
      <c r="B110" s="305"/>
      <c r="C110" s="305"/>
      <c r="D110" s="305"/>
      <c r="E110" s="305"/>
      <c r="F110" s="305"/>
      <c r="G110" s="305"/>
      <c r="H110" s="305"/>
      <c r="I110" s="305"/>
      <c r="J110" s="305"/>
      <c r="K110" s="305"/>
      <c r="L110" s="305"/>
      <c r="M110" s="305"/>
    </row>
    <row r="111" spans="1:13" x14ac:dyDescent="0.2">
      <c r="A111" s="305"/>
      <c r="B111" s="305"/>
      <c r="C111" s="305"/>
      <c r="D111" s="305"/>
      <c r="E111" s="305"/>
      <c r="F111" s="305"/>
      <c r="G111" s="305"/>
      <c r="H111" s="305"/>
      <c r="I111" s="305"/>
      <c r="J111" s="305"/>
      <c r="K111" s="305"/>
      <c r="L111" s="305"/>
      <c r="M111" s="305"/>
    </row>
    <row r="112" spans="1:13" x14ac:dyDescent="0.2">
      <c r="A112" s="305"/>
      <c r="B112" s="305"/>
      <c r="C112" s="305"/>
      <c r="D112" s="305"/>
      <c r="E112" s="305"/>
      <c r="F112" s="305"/>
      <c r="G112" s="305"/>
      <c r="H112" s="305"/>
      <c r="I112" s="305"/>
      <c r="J112" s="305"/>
      <c r="K112" s="305"/>
      <c r="L112" s="305"/>
      <c r="M112" s="305"/>
    </row>
    <row r="113" spans="1:13" x14ac:dyDescent="0.2">
      <c r="A113" s="305"/>
      <c r="B113" s="305"/>
      <c r="C113" s="305"/>
      <c r="D113" s="305"/>
      <c r="E113" s="305"/>
      <c r="F113" s="305"/>
      <c r="G113" s="305"/>
      <c r="H113" s="305"/>
      <c r="I113" s="305"/>
      <c r="J113" s="305"/>
      <c r="K113" s="305"/>
      <c r="L113" s="305"/>
      <c r="M113" s="305"/>
    </row>
    <row r="114" spans="1:13" x14ac:dyDescent="0.2">
      <c r="A114" s="305"/>
      <c r="B114" s="305"/>
      <c r="C114" s="305"/>
      <c r="D114" s="305"/>
      <c r="E114" s="305"/>
      <c r="F114" s="305"/>
      <c r="G114" s="305"/>
      <c r="H114" s="305"/>
      <c r="I114" s="305"/>
      <c r="J114" s="305"/>
      <c r="K114" s="305"/>
      <c r="L114" s="305"/>
      <c r="M114" s="305"/>
    </row>
    <row r="115" spans="1:13" x14ac:dyDescent="0.2">
      <c r="A115" s="305"/>
      <c r="B115" s="305"/>
      <c r="C115" s="305"/>
      <c r="D115" s="305"/>
      <c r="E115" s="305"/>
      <c r="F115" s="305"/>
      <c r="G115" s="305"/>
      <c r="H115" s="305"/>
      <c r="I115" s="305"/>
      <c r="J115" s="305"/>
      <c r="K115" s="305"/>
      <c r="L115" s="305"/>
      <c r="M115" s="305"/>
    </row>
    <row r="116" spans="1:13" x14ac:dyDescent="0.2">
      <c r="A116" s="305"/>
      <c r="B116" s="305"/>
      <c r="C116" s="305"/>
      <c r="D116" s="305"/>
      <c r="E116" s="305"/>
      <c r="F116" s="305"/>
      <c r="G116" s="305"/>
      <c r="H116" s="305"/>
      <c r="I116" s="305"/>
      <c r="J116" s="305"/>
      <c r="K116" s="305"/>
      <c r="L116" s="305"/>
      <c r="M116" s="305"/>
    </row>
    <row r="117" spans="1:13" x14ac:dyDescent="0.2">
      <c r="A117" s="305"/>
      <c r="B117" s="305"/>
      <c r="C117" s="305"/>
      <c r="D117" s="305"/>
      <c r="E117" s="305"/>
      <c r="F117" s="305"/>
      <c r="G117" s="305"/>
      <c r="H117" s="305"/>
      <c r="I117" s="305"/>
      <c r="J117" s="305"/>
      <c r="K117" s="305"/>
      <c r="L117" s="305"/>
      <c r="M117" s="305"/>
    </row>
    <row r="118" spans="1:13" x14ac:dyDescent="0.2">
      <c r="A118" s="305"/>
      <c r="B118" s="305"/>
      <c r="C118" s="305"/>
      <c r="D118" s="305"/>
      <c r="E118" s="305"/>
      <c r="F118" s="305"/>
      <c r="G118" s="305"/>
      <c r="H118" s="305"/>
      <c r="I118" s="305"/>
      <c r="J118" s="305"/>
      <c r="K118" s="305"/>
      <c r="L118" s="305"/>
      <c r="M118" s="305"/>
    </row>
    <row r="119" spans="1:13" x14ac:dyDescent="0.2">
      <c r="A119" s="305"/>
      <c r="B119" s="305"/>
      <c r="C119" s="305"/>
      <c r="D119" s="305"/>
      <c r="E119" s="305"/>
      <c r="F119" s="305"/>
      <c r="G119" s="305"/>
      <c r="H119" s="305"/>
      <c r="I119" s="305"/>
      <c r="J119" s="305"/>
      <c r="K119" s="305"/>
      <c r="L119" s="305"/>
      <c r="M119" s="305"/>
    </row>
    <row r="120" spans="1:13" x14ac:dyDescent="0.2">
      <c r="A120" s="305"/>
      <c r="B120" s="305"/>
      <c r="C120" s="305"/>
      <c r="D120" s="305"/>
      <c r="E120" s="305"/>
      <c r="F120" s="305"/>
      <c r="G120" s="305"/>
      <c r="H120" s="305"/>
      <c r="I120" s="305"/>
      <c r="J120" s="305"/>
      <c r="K120" s="305"/>
      <c r="L120" s="305"/>
      <c r="M120" s="305"/>
    </row>
    <row r="121" spans="1:13" x14ac:dyDescent="0.2">
      <c r="A121" s="305"/>
      <c r="B121" s="305"/>
      <c r="C121" s="305"/>
      <c r="D121" s="305"/>
      <c r="E121" s="305"/>
      <c r="F121" s="305"/>
      <c r="G121" s="305"/>
      <c r="H121" s="305"/>
      <c r="I121" s="305"/>
      <c r="J121" s="305"/>
      <c r="K121" s="305"/>
      <c r="L121" s="305"/>
      <c r="M121" s="305"/>
    </row>
  </sheetData>
  <pageMargins left="0.5" right="0.5" top="0.75" bottom="0.75" header="0.5" footer="0.5"/>
  <pageSetup orientation="landscape"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2:P102"/>
  <sheetViews>
    <sheetView zoomScaleNormal="100" workbookViewId="0">
      <pane xSplit="2" ySplit="6" topLeftCell="C7" activePane="bottomRight" state="frozen"/>
      <selection activeCell="L58" sqref="L58:L61"/>
      <selection pane="topRight" activeCell="L58" sqref="L58:L61"/>
      <selection pane="bottomLeft" activeCell="L58" sqref="L58:L61"/>
      <selection pane="bottomRight" activeCell="P36" sqref="P36"/>
    </sheetView>
  </sheetViews>
  <sheetFormatPr defaultRowHeight="11.25" x14ac:dyDescent="0.2"/>
  <cols>
    <col min="1" max="1" width="6" style="305" customWidth="1"/>
    <col min="2" max="2" width="17.85546875" style="305" customWidth="1"/>
    <col min="3" max="4" width="9.85546875" style="305" customWidth="1"/>
    <col min="5" max="5" width="11.28515625" style="305" customWidth="1"/>
    <col min="6" max="7" width="9.5703125" style="305" customWidth="1"/>
    <col min="8" max="8" width="9.85546875" style="305" customWidth="1"/>
    <col min="9" max="9" width="10.42578125" style="305" customWidth="1"/>
    <col min="10" max="10" width="10.7109375" style="305" customWidth="1"/>
    <col min="11" max="14" width="9.140625" style="305"/>
    <col min="15" max="15" width="10.7109375" style="305" bestFit="1" customWidth="1"/>
    <col min="16" max="16384" width="9.140625" style="305"/>
  </cols>
  <sheetData>
    <row r="2" spans="1:14" x14ac:dyDescent="0.2">
      <c r="B2" s="327" t="s">
        <v>95</v>
      </c>
      <c r="C2" s="349"/>
    </row>
    <row r="3" spans="1:14" x14ac:dyDescent="0.2">
      <c r="C3" s="349"/>
    </row>
    <row r="4" spans="1:14" x14ac:dyDescent="0.2">
      <c r="C4" s="347"/>
      <c r="D4" s="347"/>
      <c r="E4" s="347"/>
      <c r="F4" s="347"/>
      <c r="G4" s="347"/>
      <c r="H4" s="348"/>
      <c r="I4" s="348"/>
      <c r="J4" s="327"/>
    </row>
    <row r="5" spans="1:14" x14ac:dyDescent="0.2">
      <c r="C5" s="347"/>
      <c r="D5" s="347"/>
      <c r="E5" s="347"/>
      <c r="F5" s="347"/>
      <c r="G5" s="347"/>
      <c r="H5" s="348"/>
      <c r="I5" s="348"/>
      <c r="J5" s="347"/>
    </row>
    <row r="6" spans="1:14" ht="9.9499999999999993" customHeight="1" x14ac:dyDescent="0.2">
      <c r="C6" s="346">
        <v>42886</v>
      </c>
      <c r="D6" s="345">
        <f t="shared" ref="D6:N6" si="0">EOMONTH(C6,1)</f>
        <v>42916</v>
      </c>
      <c r="E6" s="345">
        <f t="shared" si="0"/>
        <v>42947</v>
      </c>
      <c r="F6" s="345">
        <f t="shared" si="0"/>
        <v>42978</v>
      </c>
      <c r="G6" s="345">
        <f t="shared" si="0"/>
        <v>43008</v>
      </c>
      <c r="H6" s="345">
        <f t="shared" si="0"/>
        <v>43039</v>
      </c>
      <c r="I6" s="345">
        <f t="shared" si="0"/>
        <v>43069</v>
      </c>
      <c r="J6" s="345">
        <f t="shared" si="0"/>
        <v>43100</v>
      </c>
      <c r="K6" s="345">
        <f t="shared" si="0"/>
        <v>43131</v>
      </c>
      <c r="L6" s="345">
        <f t="shared" si="0"/>
        <v>43159</v>
      </c>
      <c r="M6" s="345">
        <f t="shared" si="0"/>
        <v>43190</v>
      </c>
      <c r="N6" s="345">
        <f t="shared" si="0"/>
        <v>43220</v>
      </c>
    </row>
    <row r="7" spans="1:14" s="306" customFormat="1" x14ac:dyDescent="0.2">
      <c r="A7" s="344" t="s">
        <v>34</v>
      </c>
      <c r="C7" s="343">
        <v>3.1</v>
      </c>
      <c r="D7" s="343">
        <v>5.05</v>
      </c>
      <c r="E7" s="343">
        <v>3.41</v>
      </c>
      <c r="F7" s="343">
        <v>4.97</v>
      </c>
      <c r="G7" s="343">
        <v>3.38</v>
      </c>
      <c r="H7" s="343">
        <v>3.51</v>
      </c>
      <c r="I7" s="343">
        <v>3.34</v>
      </c>
      <c r="J7" s="343">
        <v>3.21</v>
      </c>
      <c r="K7" s="343">
        <v>4.33</v>
      </c>
      <c r="L7" s="343">
        <v>3.15</v>
      </c>
      <c r="M7" s="343">
        <v>6.94</v>
      </c>
      <c r="N7" s="343">
        <v>10.08</v>
      </c>
    </row>
    <row r="8" spans="1:14" x14ac:dyDescent="0.2">
      <c r="A8" s="305" t="s">
        <v>35</v>
      </c>
      <c r="C8" s="86">
        <v>0</v>
      </c>
      <c r="D8" s="86">
        <v>0</v>
      </c>
      <c r="E8" s="86">
        <v>0</v>
      </c>
      <c r="F8" s="86">
        <v>0</v>
      </c>
      <c r="G8" s="86">
        <v>0</v>
      </c>
      <c r="H8" s="86">
        <v>0</v>
      </c>
      <c r="I8" s="86">
        <v>0</v>
      </c>
      <c r="J8" s="86">
        <v>0</v>
      </c>
      <c r="K8" s="86">
        <v>0</v>
      </c>
      <c r="L8" s="86">
        <v>0</v>
      </c>
      <c r="M8" s="86">
        <v>0</v>
      </c>
      <c r="N8" s="86">
        <v>0</v>
      </c>
    </row>
    <row r="9" spans="1:14" x14ac:dyDescent="0.2">
      <c r="A9" s="305" t="s">
        <v>36</v>
      </c>
      <c r="C9" s="87">
        <f t="shared" ref="C9:N9" si="1">+C7*C8</f>
        <v>0</v>
      </c>
      <c r="D9" s="87">
        <f t="shared" si="1"/>
        <v>0</v>
      </c>
      <c r="E9" s="87">
        <f t="shared" si="1"/>
        <v>0</v>
      </c>
      <c r="F9" s="87">
        <f t="shared" si="1"/>
        <v>0</v>
      </c>
      <c r="G9" s="87">
        <f t="shared" si="1"/>
        <v>0</v>
      </c>
      <c r="H9" s="87">
        <f t="shared" si="1"/>
        <v>0</v>
      </c>
      <c r="I9" s="87">
        <f t="shared" si="1"/>
        <v>0</v>
      </c>
      <c r="J9" s="87">
        <f t="shared" si="1"/>
        <v>0</v>
      </c>
      <c r="K9" s="87">
        <f t="shared" si="1"/>
        <v>0</v>
      </c>
      <c r="L9" s="87">
        <f t="shared" si="1"/>
        <v>0</v>
      </c>
      <c r="M9" s="87">
        <f t="shared" si="1"/>
        <v>0</v>
      </c>
      <c r="N9" s="87">
        <f t="shared" si="1"/>
        <v>0</v>
      </c>
    </row>
    <row r="10" spans="1:14" x14ac:dyDescent="0.2">
      <c r="A10" s="327" t="s">
        <v>37</v>
      </c>
      <c r="C10" s="342">
        <f t="shared" ref="C10:N10" si="2">+C7-C9</f>
        <v>3.1</v>
      </c>
      <c r="D10" s="342">
        <f t="shared" si="2"/>
        <v>5.05</v>
      </c>
      <c r="E10" s="342">
        <f t="shared" si="2"/>
        <v>3.41</v>
      </c>
      <c r="F10" s="342">
        <f t="shared" si="2"/>
        <v>4.97</v>
      </c>
      <c r="G10" s="342">
        <f t="shared" si="2"/>
        <v>3.38</v>
      </c>
      <c r="H10" s="342">
        <f t="shared" si="2"/>
        <v>3.51</v>
      </c>
      <c r="I10" s="342">
        <f t="shared" si="2"/>
        <v>3.34</v>
      </c>
      <c r="J10" s="342">
        <f t="shared" si="2"/>
        <v>3.21</v>
      </c>
      <c r="K10" s="342">
        <f t="shared" si="2"/>
        <v>4.33</v>
      </c>
      <c r="L10" s="342">
        <f t="shared" si="2"/>
        <v>3.15</v>
      </c>
      <c r="M10" s="342">
        <f t="shared" si="2"/>
        <v>6.94</v>
      </c>
      <c r="N10" s="342">
        <f t="shared" si="2"/>
        <v>10.08</v>
      </c>
    </row>
    <row r="12" spans="1:14" x14ac:dyDescent="0.2">
      <c r="A12" s="327" t="s">
        <v>38</v>
      </c>
    </row>
    <row r="13" spans="1:14" s="332" customFormat="1" x14ac:dyDescent="0.2">
      <c r="B13" s="332" t="s">
        <v>24</v>
      </c>
      <c r="C13" s="341">
        <v>0.19500000000000001</v>
      </c>
      <c r="D13" s="341">
        <f t="shared" ref="D13:M13" si="3">+C13</f>
        <v>0.19500000000000001</v>
      </c>
      <c r="E13" s="341">
        <f t="shared" si="3"/>
        <v>0.19500000000000001</v>
      </c>
      <c r="F13" s="341">
        <f t="shared" si="3"/>
        <v>0.19500000000000001</v>
      </c>
      <c r="G13" s="341">
        <f t="shared" si="3"/>
        <v>0.19500000000000001</v>
      </c>
      <c r="H13" s="341">
        <f t="shared" si="3"/>
        <v>0.19500000000000001</v>
      </c>
      <c r="I13" s="341">
        <f t="shared" si="3"/>
        <v>0.19500000000000001</v>
      </c>
      <c r="J13" s="341">
        <f t="shared" si="3"/>
        <v>0.19500000000000001</v>
      </c>
      <c r="K13" s="341">
        <f t="shared" si="3"/>
        <v>0.19500000000000001</v>
      </c>
      <c r="L13" s="341">
        <f t="shared" si="3"/>
        <v>0.19500000000000001</v>
      </c>
      <c r="M13" s="341">
        <f t="shared" si="3"/>
        <v>0.19500000000000001</v>
      </c>
      <c r="N13" s="341">
        <v>0</v>
      </c>
    </row>
    <row r="14" spans="1:14" s="332" customFormat="1" x14ac:dyDescent="0.2">
      <c r="B14" s="332" t="s">
        <v>28</v>
      </c>
      <c r="C14" s="341">
        <v>0.1782</v>
      </c>
      <c r="D14" s="341">
        <f t="shared" ref="D14:M14" si="4">+C14</f>
        <v>0.1782</v>
      </c>
      <c r="E14" s="341">
        <f t="shared" si="4"/>
        <v>0.1782</v>
      </c>
      <c r="F14" s="341">
        <f t="shared" si="4"/>
        <v>0.1782</v>
      </c>
      <c r="G14" s="341">
        <f t="shared" si="4"/>
        <v>0.1782</v>
      </c>
      <c r="H14" s="341">
        <f t="shared" si="4"/>
        <v>0.1782</v>
      </c>
      <c r="I14" s="341">
        <f t="shared" si="4"/>
        <v>0.1782</v>
      </c>
      <c r="J14" s="341">
        <f t="shared" si="4"/>
        <v>0.1782</v>
      </c>
      <c r="K14" s="341">
        <f t="shared" si="4"/>
        <v>0.1782</v>
      </c>
      <c r="L14" s="341">
        <f t="shared" si="4"/>
        <v>0.1782</v>
      </c>
      <c r="M14" s="341">
        <f t="shared" si="4"/>
        <v>0.1782</v>
      </c>
      <c r="N14" s="341">
        <f t="shared" ref="N14:N22" si="5">+M14</f>
        <v>0.1782</v>
      </c>
    </row>
    <row r="15" spans="1:14" s="332" customFormat="1" x14ac:dyDescent="0.2">
      <c r="B15" s="332" t="s">
        <v>39</v>
      </c>
      <c r="C15" s="341">
        <v>0</v>
      </c>
      <c r="D15" s="341">
        <f t="shared" ref="D15:M15" si="6">+C15</f>
        <v>0</v>
      </c>
      <c r="E15" s="341">
        <f t="shared" si="6"/>
        <v>0</v>
      </c>
      <c r="F15" s="341">
        <f t="shared" si="6"/>
        <v>0</v>
      </c>
      <c r="G15" s="341">
        <f t="shared" si="6"/>
        <v>0</v>
      </c>
      <c r="H15" s="341">
        <f t="shared" si="6"/>
        <v>0</v>
      </c>
      <c r="I15" s="341">
        <f t="shared" si="6"/>
        <v>0</v>
      </c>
      <c r="J15" s="341">
        <f t="shared" si="6"/>
        <v>0</v>
      </c>
      <c r="K15" s="341">
        <f t="shared" si="6"/>
        <v>0</v>
      </c>
      <c r="L15" s="341">
        <f t="shared" si="6"/>
        <v>0</v>
      </c>
      <c r="M15" s="341">
        <f t="shared" si="6"/>
        <v>0</v>
      </c>
      <c r="N15" s="341">
        <f t="shared" si="5"/>
        <v>0</v>
      </c>
    </row>
    <row r="16" spans="1:14" s="332" customFormat="1" x14ac:dyDescent="0.2">
      <c r="B16" s="332" t="s">
        <v>40</v>
      </c>
      <c r="C16" s="341">
        <v>1.6500000000000001E-2</v>
      </c>
      <c r="D16" s="341">
        <f t="shared" ref="D16:M16" si="7">+C16</f>
        <v>1.6500000000000001E-2</v>
      </c>
      <c r="E16" s="341">
        <f t="shared" si="7"/>
        <v>1.6500000000000001E-2</v>
      </c>
      <c r="F16" s="341">
        <f t="shared" si="7"/>
        <v>1.6500000000000001E-2</v>
      </c>
      <c r="G16" s="341">
        <f t="shared" si="7"/>
        <v>1.6500000000000001E-2</v>
      </c>
      <c r="H16" s="341">
        <f t="shared" si="7"/>
        <v>1.6500000000000001E-2</v>
      </c>
      <c r="I16" s="341">
        <f t="shared" si="7"/>
        <v>1.6500000000000001E-2</v>
      </c>
      <c r="J16" s="341">
        <f t="shared" si="7"/>
        <v>1.6500000000000001E-2</v>
      </c>
      <c r="K16" s="341">
        <f t="shared" si="7"/>
        <v>1.6500000000000001E-2</v>
      </c>
      <c r="L16" s="341">
        <f t="shared" si="7"/>
        <v>1.6500000000000001E-2</v>
      </c>
      <c r="M16" s="341">
        <f t="shared" si="7"/>
        <v>1.6500000000000001E-2</v>
      </c>
      <c r="N16" s="341">
        <f t="shared" si="5"/>
        <v>1.6500000000000001E-2</v>
      </c>
    </row>
    <row r="17" spans="1:14" s="332" customFormat="1" x14ac:dyDescent="0.2">
      <c r="B17" s="332" t="s">
        <v>41</v>
      </c>
      <c r="C17" s="341">
        <v>4.4900000000000002E-2</v>
      </c>
      <c r="D17" s="341">
        <f t="shared" ref="D17:M17" si="8">+C17</f>
        <v>4.4900000000000002E-2</v>
      </c>
      <c r="E17" s="341">
        <f t="shared" si="8"/>
        <v>4.4900000000000002E-2</v>
      </c>
      <c r="F17" s="341">
        <f t="shared" si="8"/>
        <v>4.4900000000000002E-2</v>
      </c>
      <c r="G17" s="341">
        <f t="shared" si="8"/>
        <v>4.4900000000000002E-2</v>
      </c>
      <c r="H17" s="341">
        <f t="shared" si="8"/>
        <v>4.4900000000000002E-2</v>
      </c>
      <c r="I17" s="341">
        <f t="shared" si="8"/>
        <v>4.4900000000000002E-2</v>
      </c>
      <c r="J17" s="341">
        <f t="shared" si="8"/>
        <v>4.4900000000000002E-2</v>
      </c>
      <c r="K17" s="341">
        <f t="shared" si="8"/>
        <v>4.4900000000000002E-2</v>
      </c>
      <c r="L17" s="341">
        <f t="shared" si="8"/>
        <v>4.4900000000000002E-2</v>
      </c>
      <c r="M17" s="341">
        <f t="shared" si="8"/>
        <v>4.4900000000000002E-2</v>
      </c>
      <c r="N17" s="341">
        <f t="shared" si="5"/>
        <v>4.4900000000000002E-2</v>
      </c>
    </row>
    <row r="18" spans="1:14" s="332" customFormat="1" x14ac:dyDescent="0.2">
      <c r="B18" s="332" t="s">
        <v>42</v>
      </c>
      <c r="C18" s="341">
        <v>7.4999999999999997E-3</v>
      </c>
      <c r="D18" s="341">
        <f t="shared" ref="D18:M18" si="9">+C18</f>
        <v>7.4999999999999997E-3</v>
      </c>
      <c r="E18" s="341">
        <f t="shared" si="9"/>
        <v>7.4999999999999997E-3</v>
      </c>
      <c r="F18" s="341">
        <f t="shared" si="9"/>
        <v>7.4999999999999997E-3</v>
      </c>
      <c r="G18" s="341">
        <f t="shared" si="9"/>
        <v>7.4999999999999997E-3</v>
      </c>
      <c r="H18" s="341">
        <f t="shared" si="9"/>
        <v>7.4999999999999997E-3</v>
      </c>
      <c r="I18" s="341">
        <f t="shared" si="9"/>
        <v>7.4999999999999997E-3</v>
      </c>
      <c r="J18" s="341">
        <f t="shared" si="9"/>
        <v>7.4999999999999997E-3</v>
      </c>
      <c r="K18" s="341">
        <f t="shared" si="9"/>
        <v>7.4999999999999997E-3</v>
      </c>
      <c r="L18" s="341">
        <f t="shared" si="9"/>
        <v>7.4999999999999997E-3</v>
      </c>
      <c r="M18" s="341">
        <f t="shared" si="9"/>
        <v>7.4999999999999997E-3</v>
      </c>
      <c r="N18" s="341">
        <f t="shared" si="5"/>
        <v>7.4999999999999997E-3</v>
      </c>
    </row>
    <row r="19" spans="1:14" s="332" customFormat="1" x14ac:dyDescent="0.2">
      <c r="B19" s="305" t="s">
        <v>43</v>
      </c>
      <c r="C19" s="341">
        <v>0</v>
      </c>
      <c r="D19" s="341">
        <f t="shared" ref="D19:M19" si="10">+C19</f>
        <v>0</v>
      </c>
      <c r="E19" s="341">
        <f t="shared" si="10"/>
        <v>0</v>
      </c>
      <c r="F19" s="341">
        <f t="shared" si="10"/>
        <v>0</v>
      </c>
      <c r="G19" s="341">
        <f t="shared" si="10"/>
        <v>0</v>
      </c>
      <c r="H19" s="341">
        <f t="shared" si="10"/>
        <v>0</v>
      </c>
      <c r="I19" s="341">
        <f t="shared" si="10"/>
        <v>0</v>
      </c>
      <c r="J19" s="341">
        <f t="shared" si="10"/>
        <v>0</v>
      </c>
      <c r="K19" s="341">
        <f t="shared" si="10"/>
        <v>0</v>
      </c>
      <c r="L19" s="341">
        <f t="shared" si="10"/>
        <v>0</v>
      </c>
      <c r="M19" s="341">
        <f t="shared" si="10"/>
        <v>0</v>
      </c>
      <c r="N19" s="341">
        <f t="shared" si="5"/>
        <v>0</v>
      </c>
    </row>
    <row r="20" spans="1:14" s="332" customFormat="1" x14ac:dyDescent="0.2">
      <c r="B20" s="305" t="s">
        <v>22</v>
      </c>
      <c r="C20" s="341">
        <v>0.17680000000000001</v>
      </c>
      <c r="D20" s="341">
        <f t="shared" ref="D20:M20" si="11">+C20</f>
        <v>0.17680000000000001</v>
      </c>
      <c r="E20" s="341">
        <f t="shared" si="11"/>
        <v>0.17680000000000001</v>
      </c>
      <c r="F20" s="341">
        <f t="shared" si="11"/>
        <v>0.17680000000000001</v>
      </c>
      <c r="G20" s="341">
        <f t="shared" si="11"/>
        <v>0.17680000000000001</v>
      </c>
      <c r="H20" s="341">
        <f t="shared" si="11"/>
        <v>0.17680000000000001</v>
      </c>
      <c r="I20" s="341">
        <f t="shared" si="11"/>
        <v>0.17680000000000001</v>
      </c>
      <c r="J20" s="341">
        <f t="shared" si="11"/>
        <v>0.17680000000000001</v>
      </c>
      <c r="K20" s="341">
        <f t="shared" si="11"/>
        <v>0.17680000000000001</v>
      </c>
      <c r="L20" s="341">
        <f t="shared" si="11"/>
        <v>0.17680000000000001</v>
      </c>
      <c r="M20" s="341">
        <f t="shared" si="11"/>
        <v>0.17680000000000001</v>
      </c>
      <c r="N20" s="341">
        <f t="shared" si="5"/>
        <v>0.17680000000000001</v>
      </c>
    </row>
    <row r="21" spans="1:14" s="332" customFormat="1" x14ac:dyDescent="0.2">
      <c r="B21" s="332" t="s">
        <v>44</v>
      </c>
      <c r="C21" s="341">
        <v>0</v>
      </c>
      <c r="D21" s="341">
        <f t="shared" ref="D21:M21" si="12">+C21</f>
        <v>0</v>
      </c>
      <c r="E21" s="341">
        <f t="shared" si="12"/>
        <v>0</v>
      </c>
      <c r="F21" s="341">
        <f t="shared" si="12"/>
        <v>0</v>
      </c>
      <c r="G21" s="341">
        <f t="shared" si="12"/>
        <v>0</v>
      </c>
      <c r="H21" s="341">
        <f t="shared" si="12"/>
        <v>0</v>
      </c>
      <c r="I21" s="341">
        <f t="shared" si="12"/>
        <v>0</v>
      </c>
      <c r="J21" s="341">
        <f t="shared" si="12"/>
        <v>0</v>
      </c>
      <c r="K21" s="341">
        <f t="shared" si="12"/>
        <v>0</v>
      </c>
      <c r="L21" s="341">
        <f t="shared" si="12"/>
        <v>0</v>
      </c>
      <c r="M21" s="341">
        <f t="shared" si="12"/>
        <v>0</v>
      </c>
      <c r="N21" s="341">
        <f t="shared" si="5"/>
        <v>0</v>
      </c>
    </row>
    <row r="22" spans="1:14" s="332" customFormat="1" x14ac:dyDescent="0.2">
      <c r="B22" s="332" t="s">
        <v>45</v>
      </c>
      <c r="C22" s="341">
        <v>5.930000000000013E-2</v>
      </c>
      <c r="D22" s="341">
        <f t="shared" ref="D22:M22" si="13">+C22</f>
        <v>5.930000000000013E-2</v>
      </c>
      <c r="E22" s="341">
        <f t="shared" si="13"/>
        <v>5.930000000000013E-2</v>
      </c>
      <c r="F22" s="341">
        <f t="shared" si="13"/>
        <v>5.930000000000013E-2</v>
      </c>
      <c r="G22" s="341">
        <f t="shared" si="13"/>
        <v>5.930000000000013E-2</v>
      </c>
      <c r="H22" s="341">
        <f t="shared" si="13"/>
        <v>5.930000000000013E-2</v>
      </c>
      <c r="I22" s="341">
        <f t="shared" si="13"/>
        <v>5.930000000000013E-2</v>
      </c>
      <c r="J22" s="341">
        <f t="shared" si="13"/>
        <v>5.930000000000013E-2</v>
      </c>
      <c r="K22" s="341">
        <f t="shared" si="13"/>
        <v>5.930000000000013E-2</v>
      </c>
      <c r="L22" s="341">
        <f t="shared" si="13"/>
        <v>5.930000000000013E-2</v>
      </c>
      <c r="M22" s="341">
        <f t="shared" si="13"/>
        <v>5.930000000000013E-2</v>
      </c>
      <c r="N22" s="341">
        <f t="shared" si="5"/>
        <v>5.930000000000013E-2</v>
      </c>
    </row>
    <row r="23" spans="1:14" s="332" customFormat="1" x14ac:dyDescent="0.2">
      <c r="B23" s="332" t="s">
        <v>46</v>
      </c>
      <c r="C23" s="91">
        <v>0.32179999999999997</v>
      </c>
      <c r="D23" s="341">
        <f t="shared" ref="D23:M23" si="14">+C23</f>
        <v>0.32179999999999997</v>
      </c>
      <c r="E23" s="341">
        <f t="shared" si="14"/>
        <v>0.32179999999999997</v>
      </c>
      <c r="F23" s="341">
        <f t="shared" si="14"/>
        <v>0.32179999999999997</v>
      </c>
      <c r="G23" s="341">
        <f t="shared" si="14"/>
        <v>0.32179999999999997</v>
      </c>
      <c r="H23" s="341">
        <f t="shared" si="14"/>
        <v>0.32179999999999997</v>
      </c>
      <c r="I23" s="341">
        <f t="shared" si="14"/>
        <v>0.32179999999999997</v>
      </c>
      <c r="J23" s="341">
        <f t="shared" si="14"/>
        <v>0.32179999999999997</v>
      </c>
      <c r="K23" s="341">
        <f t="shared" si="14"/>
        <v>0.32179999999999997</v>
      </c>
      <c r="L23" s="341">
        <f t="shared" si="14"/>
        <v>0.32179999999999997</v>
      </c>
      <c r="M23" s="341">
        <f t="shared" si="14"/>
        <v>0.32179999999999997</v>
      </c>
      <c r="N23" s="341">
        <v>0.51680000000000004</v>
      </c>
    </row>
    <row r="24" spans="1:14" x14ac:dyDescent="0.2">
      <c r="C24" s="92">
        <v>1</v>
      </c>
      <c r="D24" s="92">
        <v>1</v>
      </c>
      <c r="E24" s="92">
        <v>1</v>
      </c>
      <c r="F24" s="92">
        <v>1</v>
      </c>
      <c r="G24" s="92">
        <v>1</v>
      </c>
      <c r="H24" s="92">
        <v>1</v>
      </c>
      <c r="I24" s="92">
        <v>1</v>
      </c>
      <c r="J24" s="92">
        <v>1</v>
      </c>
      <c r="K24" s="92">
        <v>1</v>
      </c>
      <c r="L24" s="92">
        <v>1</v>
      </c>
      <c r="M24" s="92">
        <v>1</v>
      </c>
      <c r="N24" s="92">
        <v>1</v>
      </c>
    </row>
    <row r="26" spans="1:14" x14ac:dyDescent="0.2">
      <c r="A26" s="327" t="s">
        <v>47</v>
      </c>
    </row>
    <row r="27" spans="1:14" x14ac:dyDescent="0.2">
      <c r="B27" s="305" t="s">
        <v>24</v>
      </c>
      <c r="C27" s="70">
        <f t="shared" ref="C27:N27" si="15">+C$10*C13</f>
        <v>0.60450000000000004</v>
      </c>
      <c r="D27" s="70">
        <f t="shared" si="15"/>
        <v>0.98475000000000001</v>
      </c>
      <c r="E27" s="70">
        <f t="shared" si="15"/>
        <v>0.66495000000000004</v>
      </c>
      <c r="F27" s="70">
        <f t="shared" si="15"/>
        <v>0.96914999999999996</v>
      </c>
      <c r="G27" s="70">
        <f t="shared" si="15"/>
        <v>0.65910000000000002</v>
      </c>
      <c r="H27" s="70">
        <f t="shared" si="15"/>
        <v>0.68445</v>
      </c>
      <c r="I27" s="70">
        <f t="shared" si="15"/>
        <v>0.65129999999999999</v>
      </c>
      <c r="J27" s="70">
        <f t="shared" si="15"/>
        <v>0.62595000000000001</v>
      </c>
      <c r="K27" s="70">
        <f t="shared" si="15"/>
        <v>0.84435000000000004</v>
      </c>
      <c r="L27" s="70">
        <f t="shared" si="15"/>
        <v>0.61424999999999996</v>
      </c>
      <c r="M27" s="70">
        <f t="shared" si="15"/>
        <v>1.3533000000000002</v>
      </c>
      <c r="N27" s="70">
        <f t="shared" si="15"/>
        <v>0</v>
      </c>
    </row>
    <row r="28" spans="1:14" x14ac:dyDescent="0.2">
      <c r="B28" s="305" t="s">
        <v>28</v>
      </c>
      <c r="C28" s="70">
        <f t="shared" ref="C28:N28" si="16">+C$10*C14</f>
        <v>0.55242000000000002</v>
      </c>
      <c r="D28" s="70">
        <f t="shared" si="16"/>
        <v>0.89990999999999999</v>
      </c>
      <c r="E28" s="70">
        <f t="shared" si="16"/>
        <v>0.60766200000000004</v>
      </c>
      <c r="F28" s="70">
        <f t="shared" si="16"/>
        <v>0.88565399999999994</v>
      </c>
      <c r="G28" s="70">
        <f t="shared" si="16"/>
        <v>0.60231599999999996</v>
      </c>
      <c r="H28" s="70">
        <f t="shared" si="16"/>
        <v>0.62548199999999998</v>
      </c>
      <c r="I28" s="70">
        <f t="shared" si="16"/>
        <v>0.59518799999999994</v>
      </c>
      <c r="J28" s="70">
        <f t="shared" si="16"/>
        <v>0.57202200000000003</v>
      </c>
      <c r="K28" s="70">
        <f t="shared" si="16"/>
        <v>0.77160600000000001</v>
      </c>
      <c r="L28" s="70">
        <f t="shared" si="16"/>
        <v>0.56133</v>
      </c>
      <c r="M28" s="70">
        <f t="shared" si="16"/>
        <v>1.2367080000000001</v>
      </c>
      <c r="N28" s="70">
        <f t="shared" si="16"/>
        <v>1.7962560000000001</v>
      </c>
    </row>
    <row r="29" spans="1:14" x14ac:dyDescent="0.2">
      <c r="B29" s="305" t="s">
        <v>39</v>
      </c>
      <c r="C29" s="70">
        <f t="shared" ref="C29:N29" si="17">+C$10*C15</f>
        <v>0</v>
      </c>
      <c r="D29" s="70">
        <f t="shared" si="17"/>
        <v>0</v>
      </c>
      <c r="E29" s="70">
        <f t="shared" si="17"/>
        <v>0</v>
      </c>
      <c r="F29" s="70">
        <f t="shared" si="17"/>
        <v>0</v>
      </c>
      <c r="G29" s="70">
        <f t="shared" si="17"/>
        <v>0</v>
      </c>
      <c r="H29" s="70">
        <f t="shared" si="17"/>
        <v>0</v>
      </c>
      <c r="I29" s="70">
        <f t="shared" si="17"/>
        <v>0</v>
      </c>
      <c r="J29" s="70">
        <f t="shared" si="17"/>
        <v>0</v>
      </c>
      <c r="K29" s="70">
        <f t="shared" si="17"/>
        <v>0</v>
      </c>
      <c r="L29" s="70">
        <f t="shared" si="17"/>
        <v>0</v>
      </c>
      <c r="M29" s="70">
        <f t="shared" si="17"/>
        <v>0</v>
      </c>
      <c r="N29" s="70">
        <f t="shared" si="17"/>
        <v>0</v>
      </c>
    </row>
    <row r="30" spans="1:14" x14ac:dyDescent="0.2">
      <c r="B30" s="305" t="s">
        <v>40</v>
      </c>
      <c r="C30" s="70">
        <f t="shared" ref="C30:N30" si="18">+C$10*C16</f>
        <v>5.1150000000000001E-2</v>
      </c>
      <c r="D30" s="70">
        <f t="shared" si="18"/>
        <v>8.3324999999999996E-2</v>
      </c>
      <c r="E30" s="70">
        <f t="shared" si="18"/>
        <v>5.6265000000000003E-2</v>
      </c>
      <c r="F30" s="70">
        <f t="shared" si="18"/>
        <v>8.2004999999999995E-2</v>
      </c>
      <c r="G30" s="70">
        <f t="shared" si="18"/>
        <v>5.577E-2</v>
      </c>
      <c r="H30" s="70">
        <f t="shared" si="18"/>
        <v>5.7915000000000001E-2</v>
      </c>
      <c r="I30" s="70">
        <f t="shared" si="18"/>
        <v>5.5109999999999999E-2</v>
      </c>
      <c r="J30" s="70">
        <f t="shared" si="18"/>
        <v>5.2965000000000005E-2</v>
      </c>
      <c r="K30" s="70">
        <f t="shared" si="18"/>
        <v>7.1445000000000008E-2</v>
      </c>
      <c r="L30" s="70">
        <f t="shared" si="18"/>
        <v>5.1975E-2</v>
      </c>
      <c r="M30" s="70">
        <f t="shared" si="18"/>
        <v>0.11451000000000001</v>
      </c>
      <c r="N30" s="70">
        <f t="shared" si="18"/>
        <v>0.16632</v>
      </c>
    </row>
    <row r="31" spans="1:14" x14ac:dyDescent="0.2">
      <c r="B31" s="305" t="s">
        <v>41</v>
      </c>
      <c r="C31" s="70">
        <f t="shared" ref="C31:N31" si="19">+C$10*C17</f>
        <v>0.13919000000000001</v>
      </c>
      <c r="D31" s="70">
        <f t="shared" si="19"/>
        <v>0.226745</v>
      </c>
      <c r="E31" s="70">
        <f t="shared" si="19"/>
        <v>0.15310900000000002</v>
      </c>
      <c r="F31" s="70">
        <f t="shared" si="19"/>
        <v>0.22315299999999999</v>
      </c>
      <c r="G31" s="70">
        <f t="shared" si="19"/>
        <v>0.15176200000000001</v>
      </c>
      <c r="H31" s="70">
        <f t="shared" si="19"/>
        <v>0.15759899999999999</v>
      </c>
      <c r="I31" s="70">
        <f t="shared" si="19"/>
        <v>0.14996599999999999</v>
      </c>
      <c r="J31" s="70">
        <f t="shared" si="19"/>
        <v>0.14412900000000001</v>
      </c>
      <c r="K31" s="70">
        <f t="shared" si="19"/>
        <v>0.19441700000000001</v>
      </c>
      <c r="L31" s="70">
        <f t="shared" si="19"/>
        <v>0.14143500000000001</v>
      </c>
      <c r="M31" s="70">
        <f t="shared" si="19"/>
        <v>0.31160600000000005</v>
      </c>
      <c r="N31" s="70">
        <f t="shared" si="19"/>
        <v>0.45259200000000005</v>
      </c>
    </row>
    <row r="32" spans="1:14" x14ac:dyDescent="0.2">
      <c r="B32" s="305" t="s">
        <v>42</v>
      </c>
      <c r="C32" s="70">
        <f t="shared" ref="C32:N32" si="20">+C$10*C18</f>
        <v>2.325E-2</v>
      </c>
      <c r="D32" s="70">
        <f t="shared" si="20"/>
        <v>3.7874999999999999E-2</v>
      </c>
      <c r="E32" s="70">
        <f t="shared" si="20"/>
        <v>2.5575000000000001E-2</v>
      </c>
      <c r="F32" s="70">
        <f t="shared" si="20"/>
        <v>3.7274999999999996E-2</v>
      </c>
      <c r="G32" s="70">
        <f t="shared" si="20"/>
        <v>2.5349999999999998E-2</v>
      </c>
      <c r="H32" s="70">
        <f t="shared" si="20"/>
        <v>2.6324999999999998E-2</v>
      </c>
      <c r="I32" s="70">
        <f t="shared" si="20"/>
        <v>2.5049999999999999E-2</v>
      </c>
      <c r="J32" s="70">
        <f t="shared" si="20"/>
        <v>2.4074999999999999E-2</v>
      </c>
      <c r="K32" s="70">
        <f t="shared" si="20"/>
        <v>3.2474999999999997E-2</v>
      </c>
      <c r="L32" s="70">
        <f t="shared" si="20"/>
        <v>2.3625E-2</v>
      </c>
      <c r="M32" s="70">
        <f t="shared" si="20"/>
        <v>5.2049999999999999E-2</v>
      </c>
      <c r="N32" s="70">
        <f t="shared" si="20"/>
        <v>7.5600000000000001E-2</v>
      </c>
    </row>
    <row r="33" spans="1:14" x14ac:dyDescent="0.2">
      <c r="B33" s="305" t="s">
        <v>43</v>
      </c>
      <c r="C33" s="70">
        <f t="shared" ref="C33:N33" si="21">+C$10*C19</f>
        <v>0</v>
      </c>
      <c r="D33" s="70">
        <f t="shared" si="21"/>
        <v>0</v>
      </c>
      <c r="E33" s="70">
        <f t="shared" si="21"/>
        <v>0</v>
      </c>
      <c r="F33" s="70">
        <f t="shared" si="21"/>
        <v>0</v>
      </c>
      <c r="G33" s="70">
        <f t="shared" si="21"/>
        <v>0</v>
      </c>
      <c r="H33" s="70">
        <f t="shared" si="21"/>
        <v>0</v>
      </c>
      <c r="I33" s="70">
        <f t="shared" si="21"/>
        <v>0</v>
      </c>
      <c r="J33" s="70">
        <f t="shared" si="21"/>
        <v>0</v>
      </c>
      <c r="K33" s="70">
        <f t="shared" si="21"/>
        <v>0</v>
      </c>
      <c r="L33" s="70">
        <f t="shared" si="21"/>
        <v>0</v>
      </c>
      <c r="M33" s="70">
        <f t="shared" si="21"/>
        <v>0</v>
      </c>
      <c r="N33" s="70">
        <f t="shared" si="21"/>
        <v>0</v>
      </c>
    </row>
    <row r="34" spans="1:14" x14ac:dyDescent="0.2">
      <c r="B34" s="305" t="s">
        <v>22</v>
      </c>
      <c r="C34" s="70">
        <f t="shared" ref="C34:N34" si="22">+C$10*C20</f>
        <v>0.54808000000000001</v>
      </c>
      <c r="D34" s="70">
        <f t="shared" si="22"/>
        <v>0.89284000000000008</v>
      </c>
      <c r="E34" s="70">
        <f t="shared" si="22"/>
        <v>0.60288800000000009</v>
      </c>
      <c r="F34" s="70">
        <f t="shared" si="22"/>
        <v>0.87869600000000003</v>
      </c>
      <c r="G34" s="70">
        <f t="shared" si="22"/>
        <v>0.597584</v>
      </c>
      <c r="H34" s="70">
        <f t="shared" si="22"/>
        <v>0.62056800000000001</v>
      </c>
      <c r="I34" s="70">
        <f t="shared" si="22"/>
        <v>0.59051200000000004</v>
      </c>
      <c r="J34" s="70">
        <f t="shared" si="22"/>
        <v>0.56752800000000003</v>
      </c>
      <c r="K34" s="70">
        <f t="shared" si="22"/>
        <v>0.76554400000000011</v>
      </c>
      <c r="L34" s="70">
        <f t="shared" si="22"/>
        <v>0.55691999999999997</v>
      </c>
      <c r="M34" s="70">
        <f t="shared" si="22"/>
        <v>1.2269920000000001</v>
      </c>
      <c r="N34" s="70">
        <f t="shared" si="22"/>
        <v>1.7821440000000002</v>
      </c>
    </row>
    <row r="35" spans="1:14" x14ac:dyDescent="0.2">
      <c r="B35" s="305" t="s">
        <v>44</v>
      </c>
      <c r="C35" s="70">
        <f t="shared" ref="C35:N35" si="23">+C$10*C21</f>
        <v>0</v>
      </c>
      <c r="D35" s="70">
        <f t="shared" si="23"/>
        <v>0</v>
      </c>
      <c r="E35" s="70">
        <f t="shared" si="23"/>
        <v>0</v>
      </c>
      <c r="F35" s="70">
        <f t="shared" si="23"/>
        <v>0</v>
      </c>
      <c r="G35" s="70">
        <f t="shared" si="23"/>
        <v>0</v>
      </c>
      <c r="H35" s="70">
        <f t="shared" si="23"/>
        <v>0</v>
      </c>
      <c r="I35" s="70">
        <f t="shared" si="23"/>
        <v>0</v>
      </c>
      <c r="J35" s="70">
        <f t="shared" si="23"/>
        <v>0</v>
      </c>
      <c r="K35" s="70">
        <f t="shared" si="23"/>
        <v>0</v>
      </c>
      <c r="L35" s="70">
        <f t="shared" si="23"/>
        <v>0</v>
      </c>
      <c r="M35" s="70">
        <f t="shared" si="23"/>
        <v>0</v>
      </c>
      <c r="N35" s="70">
        <f t="shared" si="23"/>
        <v>0</v>
      </c>
    </row>
    <row r="36" spans="1:14" x14ac:dyDescent="0.2">
      <c r="B36" s="305" t="s">
        <v>45</v>
      </c>
      <c r="C36" s="70">
        <f t="shared" ref="C36:N36" si="24">+C$10*C22</f>
        <v>0.18383000000000041</v>
      </c>
      <c r="D36" s="70">
        <f t="shared" si="24"/>
        <v>0.29946500000000065</v>
      </c>
      <c r="E36" s="70">
        <f t="shared" si="24"/>
        <v>0.20221300000000045</v>
      </c>
      <c r="F36" s="70">
        <f t="shared" si="24"/>
        <v>0.29472100000000062</v>
      </c>
      <c r="G36" s="70">
        <f t="shared" si="24"/>
        <v>0.20043400000000045</v>
      </c>
      <c r="H36" s="70">
        <f t="shared" si="24"/>
        <v>0.20814300000000044</v>
      </c>
      <c r="I36" s="70">
        <f t="shared" si="24"/>
        <v>0.19806200000000043</v>
      </c>
      <c r="J36" s="70">
        <f t="shared" si="24"/>
        <v>0.19035300000000041</v>
      </c>
      <c r="K36" s="70">
        <f t="shared" si="24"/>
        <v>0.25676900000000058</v>
      </c>
      <c r="L36" s="70">
        <f t="shared" si="24"/>
        <v>0.18679500000000041</v>
      </c>
      <c r="M36" s="70">
        <f t="shared" si="24"/>
        <v>0.41154200000000091</v>
      </c>
      <c r="N36" s="70">
        <f t="shared" si="24"/>
        <v>0.59774400000000127</v>
      </c>
    </row>
    <row r="37" spans="1:14" x14ac:dyDescent="0.2">
      <c r="B37" s="305" t="s">
        <v>46</v>
      </c>
      <c r="C37" s="87">
        <f t="shared" ref="C37:N37" si="25">+C$10*C23</f>
        <v>0.99757999999999991</v>
      </c>
      <c r="D37" s="87">
        <f t="shared" si="25"/>
        <v>1.6250899999999999</v>
      </c>
      <c r="E37" s="87">
        <f t="shared" si="25"/>
        <v>1.0973379999999999</v>
      </c>
      <c r="F37" s="87">
        <f t="shared" si="25"/>
        <v>1.5993459999999997</v>
      </c>
      <c r="G37" s="87">
        <f t="shared" si="25"/>
        <v>1.0876839999999999</v>
      </c>
      <c r="H37" s="87">
        <f t="shared" si="25"/>
        <v>1.1295179999999998</v>
      </c>
      <c r="I37" s="87">
        <f t="shared" si="25"/>
        <v>1.0748119999999999</v>
      </c>
      <c r="J37" s="87">
        <f t="shared" si="25"/>
        <v>1.032978</v>
      </c>
      <c r="K37" s="87">
        <f t="shared" si="25"/>
        <v>1.393394</v>
      </c>
      <c r="L37" s="87">
        <f t="shared" si="25"/>
        <v>1.0136699999999998</v>
      </c>
      <c r="M37" s="87">
        <f t="shared" si="25"/>
        <v>2.2332920000000001</v>
      </c>
      <c r="N37" s="87">
        <f t="shared" si="25"/>
        <v>5.2093440000000006</v>
      </c>
    </row>
    <row r="38" spans="1:14" x14ac:dyDescent="0.2">
      <c r="C38" s="70">
        <f t="shared" ref="C38:N38" si="26">SUM(C27:C37)</f>
        <v>3.1000000000000005</v>
      </c>
      <c r="D38" s="70">
        <f t="shared" si="26"/>
        <v>5.0500000000000007</v>
      </c>
      <c r="E38" s="70">
        <f t="shared" si="26"/>
        <v>3.41</v>
      </c>
      <c r="F38" s="70">
        <f t="shared" si="26"/>
        <v>4.9700000000000006</v>
      </c>
      <c r="G38" s="70">
        <f t="shared" si="26"/>
        <v>3.3800000000000003</v>
      </c>
      <c r="H38" s="70">
        <f t="shared" si="26"/>
        <v>3.5100000000000007</v>
      </c>
      <c r="I38" s="70">
        <f t="shared" si="26"/>
        <v>3.3400000000000007</v>
      </c>
      <c r="J38" s="70">
        <f t="shared" si="26"/>
        <v>3.2100000000000004</v>
      </c>
      <c r="K38" s="70">
        <f t="shared" si="26"/>
        <v>4.330000000000001</v>
      </c>
      <c r="L38" s="70">
        <f t="shared" si="26"/>
        <v>3.1500000000000004</v>
      </c>
      <c r="M38" s="70">
        <f t="shared" si="26"/>
        <v>6.9400000000000013</v>
      </c>
      <c r="N38" s="70">
        <f t="shared" si="26"/>
        <v>10.080000000000002</v>
      </c>
    </row>
    <row r="40" spans="1:14" x14ac:dyDescent="0.2">
      <c r="A40" s="327" t="s">
        <v>48</v>
      </c>
    </row>
    <row r="41" spans="1:14" x14ac:dyDescent="0.2">
      <c r="B41" s="305" t="s">
        <v>24</v>
      </c>
      <c r="C41" s="175">
        <v>1</v>
      </c>
      <c r="D41" s="94">
        <v>1</v>
      </c>
      <c r="E41" s="94">
        <v>1</v>
      </c>
      <c r="F41" s="94">
        <v>1</v>
      </c>
      <c r="G41" s="94">
        <v>1</v>
      </c>
      <c r="H41" s="94">
        <v>1</v>
      </c>
      <c r="I41" s="94">
        <v>1</v>
      </c>
      <c r="J41" s="94">
        <v>1</v>
      </c>
      <c r="K41" s="94">
        <v>1</v>
      </c>
      <c r="L41" s="94">
        <v>1</v>
      </c>
      <c r="M41" s="94">
        <v>1</v>
      </c>
      <c r="N41" s="94">
        <v>1</v>
      </c>
    </row>
    <row r="42" spans="1:14" x14ac:dyDescent="0.2">
      <c r="B42" s="305" t="s">
        <v>28</v>
      </c>
      <c r="C42" s="175">
        <v>1</v>
      </c>
      <c r="D42" s="94">
        <v>1</v>
      </c>
      <c r="E42" s="94">
        <v>1</v>
      </c>
      <c r="F42" s="94">
        <v>1</v>
      </c>
      <c r="G42" s="94">
        <v>1</v>
      </c>
      <c r="H42" s="94">
        <v>1</v>
      </c>
      <c r="I42" s="94">
        <v>1</v>
      </c>
      <c r="J42" s="94">
        <v>1</v>
      </c>
      <c r="K42" s="94">
        <v>1</v>
      </c>
      <c r="L42" s="94">
        <v>1</v>
      </c>
      <c r="M42" s="94">
        <v>1</v>
      </c>
      <c r="N42" s="94">
        <v>1</v>
      </c>
    </row>
    <row r="43" spans="1:14" x14ac:dyDescent="0.2">
      <c r="B43" s="305" t="s">
        <v>39</v>
      </c>
      <c r="C43" s="175">
        <v>1</v>
      </c>
      <c r="D43" s="94">
        <v>1</v>
      </c>
      <c r="E43" s="94">
        <v>1</v>
      </c>
      <c r="F43" s="94">
        <v>1</v>
      </c>
      <c r="G43" s="94">
        <v>1</v>
      </c>
      <c r="H43" s="94">
        <v>1</v>
      </c>
      <c r="I43" s="94">
        <v>1</v>
      </c>
      <c r="J43" s="94">
        <v>1</v>
      </c>
      <c r="K43" s="94">
        <v>1</v>
      </c>
      <c r="L43" s="94">
        <v>1</v>
      </c>
      <c r="M43" s="94">
        <v>1</v>
      </c>
      <c r="N43" s="94">
        <v>1</v>
      </c>
    </row>
    <row r="44" spans="1:14" x14ac:dyDescent="0.2">
      <c r="B44" s="305" t="s">
        <v>40</v>
      </c>
      <c r="C44" s="175">
        <v>1</v>
      </c>
      <c r="D44" s="94">
        <v>1</v>
      </c>
      <c r="E44" s="94">
        <v>1</v>
      </c>
      <c r="F44" s="94">
        <v>1</v>
      </c>
      <c r="G44" s="94">
        <v>1</v>
      </c>
      <c r="H44" s="94">
        <v>1</v>
      </c>
      <c r="I44" s="94">
        <v>1</v>
      </c>
      <c r="J44" s="94">
        <v>1</v>
      </c>
      <c r="K44" s="94">
        <v>1</v>
      </c>
      <c r="L44" s="94">
        <v>1</v>
      </c>
      <c r="M44" s="94">
        <v>1</v>
      </c>
      <c r="N44" s="94">
        <v>1</v>
      </c>
    </row>
    <row r="45" spans="1:14" x14ac:dyDescent="0.2">
      <c r="B45" s="305" t="s">
        <v>41</v>
      </c>
      <c r="C45" s="175">
        <v>1</v>
      </c>
      <c r="D45" s="94">
        <v>1</v>
      </c>
      <c r="E45" s="94">
        <v>1</v>
      </c>
      <c r="F45" s="94">
        <v>1</v>
      </c>
      <c r="G45" s="94">
        <v>1</v>
      </c>
      <c r="H45" s="94">
        <v>1</v>
      </c>
      <c r="I45" s="94">
        <v>1</v>
      </c>
      <c r="J45" s="94">
        <v>1</v>
      </c>
      <c r="K45" s="94">
        <v>1</v>
      </c>
      <c r="L45" s="94">
        <v>1</v>
      </c>
      <c r="M45" s="94">
        <v>1</v>
      </c>
      <c r="N45" s="94">
        <v>1</v>
      </c>
    </row>
    <row r="46" spans="1:14" x14ac:dyDescent="0.2">
      <c r="B46" s="305" t="s">
        <v>42</v>
      </c>
      <c r="C46" s="175">
        <v>1</v>
      </c>
      <c r="D46" s="94">
        <v>1</v>
      </c>
      <c r="E46" s="94">
        <v>1</v>
      </c>
      <c r="F46" s="94">
        <v>1</v>
      </c>
      <c r="G46" s="94">
        <v>1</v>
      </c>
      <c r="H46" s="94">
        <v>1</v>
      </c>
      <c r="I46" s="94">
        <v>1</v>
      </c>
      <c r="J46" s="94">
        <v>1</v>
      </c>
      <c r="K46" s="94">
        <v>1</v>
      </c>
      <c r="L46" s="94">
        <v>1</v>
      </c>
      <c r="M46" s="94">
        <v>1</v>
      </c>
      <c r="N46" s="94">
        <v>1</v>
      </c>
    </row>
    <row r="47" spans="1:14" x14ac:dyDescent="0.2">
      <c r="B47" s="305" t="s">
        <v>43</v>
      </c>
      <c r="C47" s="175">
        <v>1</v>
      </c>
      <c r="D47" s="94">
        <v>1</v>
      </c>
      <c r="E47" s="94">
        <v>1</v>
      </c>
      <c r="F47" s="94">
        <v>1</v>
      </c>
      <c r="G47" s="94">
        <v>1</v>
      </c>
      <c r="H47" s="94">
        <v>1</v>
      </c>
      <c r="I47" s="94">
        <v>1</v>
      </c>
      <c r="J47" s="94">
        <v>1</v>
      </c>
      <c r="K47" s="94">
        <v>1</v>
      </c>
      <c r="L47" s="94">
        <v>1</v>
      </c>
      <c r="M47" s="94">
        <v>1</v>
      </c>
      <c r="N47" s="94">
        <v>1</v>
      </c>
    </row>
    <row r="48" spans="1:14" x14ac:dyDescent="0.2">
      <c r="B48" s="305" t="s">
        <v>22</v>
      </c>
      <c r="C48" s="175">
        <v>1</v>
      </c>
      <c r="D48" s="94">
        <v>1</v>
      </c>
      <c r="E48" s="94">
        <v>1</v>
      </c>
      <c r="F48" s="94">
        <v>1</v>
      </c>
      <c r="G48" s="94">
        <v>1</v>
      </c>
      <c r="H48" s="94">
        <v>1</v>
      </c>
      <c r="I48" s="94">
        <v>1</v>
      </c>
      <c r="J48" s="94">
        <v>1</v>
      </c>
      <c r="K48" s="94">
        <v>1</v>
      </c>
      <c r="L48" s="94">
        <v>1</v>
      </c>
      <c r="M48" s="94">
        <v>1</v>
      </c>
      <c r="N48" s="94">
        <v>1</v>
      </c>
    </row>
    <row r="49" spans="1:14" x14ac:dyDescent="0.2">
      <c r="B49" s="305" t="s">
        <v>44</v>
      </c>
      <c r="C49" s="175">
        <v>1</v>
      </c>
      <c r="D49" s="94">
        <v>1</v>
      </c>
      <c r="E49" s="94">
        <v>1</v>
      </c>
      <c r="F49" s="94">
        <v>1</v>
      </c>
      <c r="G49" s="94">
        <v>1</v>
      </c>
      <c r="H49" s="94">
        <v>1</v>
      </c>
      <c r="I49" s="94">
        <v>1</v>
      </c>
      <c r="J49" s="94">
        <v>1</v>
      </c>
      <c r="K49" s="94">
        <v>1</v>
      </c>
      <c r="L49" s="94">
        <v>1</v>
      </c>
      <c r="M49" s="94">
        <v>1</v>
      </c>
      <c r="N49" s="94">
        <v>1</v>
      </c>
    </row>
    <row r="50" spans="1:14" x14ac:dyDescent="0.2">
      <c r="B50" s="305" t="s">
        <v>45</v>
      </c>
      <c r="C50" s="175">
        <v>1</v>
      </c>
      <c r="D50" s="94">
        <v>1</v>
      </c>
      <c r="E50" s="94">
        <v>1</v>
      </c>
      <c r="F50" s="94">
        <v>1</v>
      </c>
      <c r="G50" s="94">
        <v>1</v>
      </c>
      <c r="H50" s="94">
        <v>1</v>
      </c>
      <c r="I50" s="94">
        <v>1</v>
      </c>
      <c r="J50" s="94">
        <v>1</v>
      </c>
      <c r="K50" s="94">
        <v>1</v>
      </c>
      <c r="L50" s="94">
        <v>1</v>
      </c>
      <c r="M50" s="94">
        <v>1</v>
      </c>
      <c r="N50" s="94">
        <v>1</v>
      </c>
    </row>
    <row r="51" spans="1:14" ht="14.25" customHeight="1" x14ac:dyDescent="0.2">
      <c r="C51" s="92"/>
      <c r="D51" s="94"/>
      <c r="E51" s="94"/>
      <c r="F51" s="94"/>
      <c r="G51" s="94"/>
      <c r="H51" s="94"/>
      <c r="I51" s="94"/>
      <c r="J51" s="94"/>
      <c r="K51" s="94"/>
      <c r="L51" s="94"/>
      <c r="M51" s="94"/>
      <c r="N51" s="94"/>
    </row>
    <row r="52" spans="1:14" x14ac:dyDescent="0.2">
      <c r="A52" s="305" t="s">
        <v>46</v>
      </c>
      <c r="C52" s="92">
        <f>+C65/C37</f>
        <v>0.99999999999999978</v>
      </c>
      <c r="D52" s="94">
        <v>1</v>
      </c>
      <c r="E52" s="94">
        <v>1</v>
      </c>
      <c r="F52" s="94">
        <v>1</v>
      </c>
      <c r="G52" s="94">
        <v>1</v>
      </c>
      <c r="H52" s="94">
        <v>1</v>
      </c>
      <c r="I52" s="94">
        <v>1</v>
      </c>
      <c r="J52" s="94">
        <v>1</v>
      </c>
      <c r="K52" s="94">
        <v>1</v>
      </c>
      <c r="L52" s="94">
        <v>1</v>
      </c>
      <c r="M52" s="94">
        <v>1</v>
      </c>
      <c r="N52" s="94">
        <v>1</v>
      </c>
    </row>
    <row r="53" spans="1:14" x14ac:dyDescent="0.2">
      <c r="L53" s="92"/>
      <c r="N53" s="94"/>
    </row>
    <row r="54" spans="1:14" x14ac:dyDescent="0.2">
      <c r="A54" s="327" t="s">
        <v>49</v>
      </c>
      <c r="L54" s="92"/>
      <c r="N54" s="94"/>
    </row>
    <row r="55" spans="1:14" x14ac:dyDescent="0.2">
      <c r="B55" s="305" t="s">
        <v>24</v>
      </c>
      <c r="C55" s="70">
        <f t="shared" ref="C55:N55" si="27">+C27*C41</f>
        <v>0.60450000000000004</v>
      </c>
      <c r="D55" s="70">
        <f t="shared" si="27"/>
        <v>0.98475000000000001</v>
      </c>
      <c r="E55" s="70">
        <f t="shared" si="27"/>
        <v>0.66495000000000004</v>
      </c>
      <c r="F55" s="70">
        <f t="shared" si="27"/>
        <v>0.96914999999999996</v>
      </c>
      <c r="G55" s="70">
        <f t="shared" si="27"/>
        <v>0.65910000000000002</v>
      </c>
      <c r="H55" s="70">
        <f t="shared" si="27"/>
        <v>0.68445</v>
      </c>
      <c r="I55" s="70">
        <f t="shared" si="27"/>
        <v>0.65129999999999999</v>
      </c>
      <c r="J55" s="70">
        <f t="shared" si="27"/>
        <v>0.62595000000000001</v>
      </c>
      <c r="K55" s="70">
        <f t="shared" si="27"/>
        <v>0.84435000000000004</v>
      </c>
      <c r="L55" s="70">
        <f t="shared" si="27"/>
        <v>0.61424999999999996</v>
      </c>
      <c r="M55" s="70">
        <f t="shared" si="27"/>
        <v>1.3533000000000002</v>
      </c>
      <c r="N55" s="70">
        <f t="shared" si="27"/>
        <v>0</v>
      </c>
    </row>
    <row r="56" spans="1:14" x14ac:dyDescent="0.2">
      <c r="B56" s="305" t="s">
        <v>28</v>
      </c>
      <c r="C56" s="70">
        <f t="shared" ref="C56:N56" si="28">+C28*C42</f>
        <v>0.55242000000000002</v>
      </c>
      <c r="D56" s="70">
        <f t="shared" si="28"/>
        <v>0.89990999999999999</v>
      </c>
      <c r="E56" s="70">
        <f t="shared" si="28"/>
        <v>0.60766200000000004</v>
      </c>
      <c r="F56" s="70">
        <f t="shared" si="28"/>
        <v>0.88565399999999994</v>
      </c>
      <c r="G56" s="70">
        <f t="shared" si="28"/>
        <v>0.60231599999999996</v>
      </c>
      <c r="H56" s="70">
        <f t="shared" si="28"/>
        <v>0.62548199999999998</v>
      </c>
      <c r="I56" s="70">
        <f t="shared" si="28"/>
        <v>0.59518799999999994</v>
      </c>
      <c r="J56" s="70">
        <f t="shared" si="28"/>
        <v>0.57202200000000003</v>
      </c>
      <c r="K56" s="70">
        <f t="shared" si="28"/>
        <v>0.77160600000000001</v>
      </c>
      <c r="L56" s="70">
        <f t="shared" si="28"/>
        <v>0.56133</v>
      </c>
      <c r="M56" s="70">
        <f t="shared" si="28"/>
        <v>1.2367080000000001</v>
      </c>
      <c r="N56" s="70">
        <f t="shared" si="28"/>
        <v>1.7962560000000001</v>
      </c>
    </row>
    <row r="57" spans="1:14" x14ac:dyDescent="0.2">
      <c r="B57" s="305" t="s">
        <v>39</v>
      </c>
      <c r="C57" s="70">
        <f t="shared" ref="C57:N57" si="29">+C29*C43</f>
        <v>0</v>
      </c>
      <c r="D57" s="70">
        <f t="shared" si="29"/>
        <v>0</v>
      </c>
      <c r="E57" s="70">
        <f t="shared" si="29"/>
        <v>0</v>
      </c>
      <c r="F57" s="70">
        <f t="shared" si="29"/>
        <v>0</v>
      </c>
      <c r="G57" s="70">
        <f t="shared" si="29"/>
        <v>0</v>
      </c>
      <c r="H57" s="70">
        <f t="shared" si="29"/>
        <v>0</v>
      </c>
      <c r="I57" s="70">
        <f t="shared" si="29"/>
        <v>0</v>
      </c>
      <c r="J57" s="70">
        <f t="shared" si="29"/>
        <v>0</v>
      </c>
      <c r="K57" s="70">
        <f t="shared" si="29"/>
        <v>0</v>
      </c>
      <c r="L57" s="70">
        <f t="shared" si="29"/>
        <v>0</v>
      </c>
      <c r="M57" s="70">
        <f t="shared" si="29"/>
        <v>0</v>
      </c>
      <c r="N57" s="70">
        <f t="shared" si="29"/>
        <v>0</v>
      </c>
    </row>
    <row r="58" spans="1:14" x14ac:dyDescent="0.2">
      <c r="B58" s="305" t="s">
        <v>40</v>
      </c>
      <c r="C58" s="70">
        <f t="shared" ref="C58:N58" si="30">+C30*C44</f>
        <v>5.1150000000000001E-2</v>
      </c>
      <c r="D58" s="70">
        <f t="shared" si="30"/>
        <v>8.3324999999999996E-2</v>
      </c>
      <c r="E58" s="70">
        <f t="shared" si="30"/>
        <v>5.6265000000000003E-2</v>
      </c>
      <c r="F58" s="70">
        <f t="shared" si="30"/>
        <v>8.2004999999999995E-2</v>
      </c>
      <c r="G58" s="70">
        <f t="shared" si="30"/>
        <v>5.577E-2</v>
      </c>
      <c r="H58" s="70">
        <f t="shared" si="30"/>
        <v>5.7915000000000001E-2</v>
      </c>
      <c r="I58" s="70">
        <f t="shared" si="30"/>
        <v>5.5109999999999999E-2</v>
      </c>
      <c r="J58" s="70">
        <f t="shared" si="30"/>
        <v>5.2965000000000005E-2</v>
      </c>
      <c r="K58" s="70">
        <f t="shared" si="30"/>
        <v>7.1445000000000008E-2</v>
      </c>
      <c r="L58" s="70">
        <f t="shared" si="30"/>
        <v>5.1975E-2</v>
      </c>
      <c r="M58" s="70">
        <f t="shared" si="30"/>
        <v>0.11451000000000001</v>
      </c>
      <c r="N58" s="70">
        <f t="shared" si="30"/>
        <v>0.16632</v>
      </c>
    </row>
    <row r="59" spans="1:14" x14ac:dyDescent="0.2">
      <c r="B59" s="305" t="s">
        <v>41</v>
      </c>
      <c r="C59" s="70">
        <f t="shared" ref="C59:N59" si="31">+C31*C45</f>
        <v>0.13919000000000001</v>
      </c>
      <c r="D59" s="70">
        <f t="shared" si="31"/>
        <v>0.226745</v>
      </c>
      <c r="E59" s="70">
        <f t="shared" si="31"/>
        <v>0.15310900000000002</v>
      </c>
      <c r="F59" s="70">
        <f t="shared" si="31"/>
        <v>0.22315299999999999</v>
      </c>
      <c r="G59" s="70">
        <f t="shared" si="31"/>
        <v>0.15176200000000001</v>
      </c>
      <c r="H59" s="70">
        <f t="shared" si="31"/>
        <v>0.15759899999999999</v>
      </c>
      <c r="I59" s="70">
        <f t="shared" si="31"/>
        <v>0.14996599999999999</v>
      </c>
      <c r="J59" s="70">
        <f t="shared" si="31"/>
        <v>0.14412900000000001</v>
      </c>
      <c r="K59" s="70">
        <f t="shared" si="31"/>
        <v>0.19441700000000001</v>
      </c>
      <c r="L59" s="70">
        <f t="shared" si="31"/>
        <v>0.14143500000000001</v>
      </c>
      <c r="M59" s="70">
        <f t="shared" si="31"/>
        <v>0.31160600000000005</v>
      </c>
      <c r="N59" s="70">
        <f t="shared" si="31"/>
        <v>0.45259200000000005</v>
      </c>
    </row>
    <row r="60" spans="1:14" x14ac:dyDescent="0.2">
      <c r="B60" s="305" t="s">
        <v>42</v>
      </c>
      <c r="C60" s="95">
        <f t="shared" ref="C60:N60" si="32">+C32*C46</f>
        <v>2.325E-2</v>
      </c>
      <c r="D60" s="95">
        <f t="shared" si="32"/>
        <v>3.7874999999999999E-2</v>
      </c>
      <c r="E60" s="95">
        <f t="shared" si="32"/>
        <v>2.5575000000000001E-2</v>
      </c>
      <c r="F60" s="95">
        <f t="shared" si="32"/>
        <v>3.7274999999999996E-2</v>
      </c>
      <c r="G60" s="95">
        <f t="shared" si="32"/>
        <v>2.5349999999999998E-2</v>
      </c>
      <c r="H60" s="95">
        <f t="shared" si="32"/>
        <v>2.6324999999999998E-2</v>
      </c>
      <c r="I60" s="95">
        <f t="shared" si="32"/>
        <v>2.5049999999999999E-2</v>
      </c>
      <c r="J60" s="95">
        <f t="shared" si="32"/>
        <v>2.4074999999999999E-2</v>
      </c>
      <c r="K60" s="95">
        <f t="shared" si="32"/>
        <v>3.2474999999999997E-2</v>
      </c>
      <c r="L60" s="95">
        <f t="shared" si="32"/>
        <v>2.3625E-2</v>
      </c>
      <c r="M60" s="95">
        <f t="shared" si="32"/>
        <v>5.2049999999999999E-2</v>
      </c>
      <c r="N60" s="95">
        <f t="shared" si="32"/>
        <v>7.5600000000000001E-2</v>
      </c>
    </row>
    <row r="61" spans="1:14" x14ac:dyDescent="0.2">
      <c r="B61" s="305" t="s">
        <v>43</v>
      </c>
      <c r="C61" s="70">
        <f t="shared" ref="C61:N61" si="33">+C33*C47</f>
        <v>0</v>
      </c>
      <c r="D61" s="70">
        <f t="shared" si="33"/>
        <v>0</v>
      </c>
      <c r="E61" s="70">
        <f t="shared" si="33"/>
        <v>0</v>
      </c>
      <c r="F61" s="70">
        <f t="shared" si="33"/>
        <v>0</v>
      </c>
      <c r="G61" s="70">
        <f t="shared" si="33"/>
        <v>0</v>
      </c>
      <c r="H61" s="70">
        <f t="shared" si="33"/>
        <v>0</v>
      </c>
      <c r="I61" s="70">
        <f t="shared" si="33"/>
        <v>0</v>
      </c>
      <c r="J61" s="70">
        <f t="shared" si="33"/>
        <v>0</v>
      </c>
      <c r="K61" s="70">
        <f t="shared" si="33"/>
        <v>0</v>
      </c>
      <c r="L61" s="70">
        <f t="shared" si="33"/>
        <v>0</v>
      </c>
      <c r="M61" s="70">
        <f t="shared" si="33"/>
        <v>0</v>
      </c>
      <c r="N61" s="70">
        <f t="shared" si="33"/>
        <v>0</v>
      </c>
    </row>
    <row r="62" spans="1:14" x14ac:dyDescent="0.2">
      <c r="B62" s="305" t="s">
        <v>36</v>
      </c>
      <c r="C62" s="70">
        <f t="shared" ref="C62:N62" si="34">+C34*C48</f>
        <v>0.54808000000000001</v>
      </c>
      <c r="D62" s="70">
        <f t="shared" si="34"/>
        <v>0.89284000000000008</v>
      </c>
      <c r="E62" s="70">
        <f t="shared" si="34"/>
        <v>0.60288800000000009</v>
      </c>
      <c r="F62" s="70">
        <f t="shared" si="34"/>
        <v>0.87869600000000003</v>
      </c>
      <c r="G62" s="70">
        <f t="shared" si="34"/>
        <v>0.597584</v>
      </c>
      <c r="H62" s="70">
        <f t="shared" si="34"/>
        <v>0.62056800000000001</v>
      </c>
      <c r="I62" s="70">
        <f t="shared" si="34"/>
        <v>0.59051200000000004</v>
      </c>
      <c r="J62" s="70">
        <f t="shared" si="34"/>
        <v>0.56752800000000003</v>
      </c>
      <c r="K62" s="70">
        <f t="shared" si="34"/>
        <v>0.76554400000000011</v>
      </c>
      <c r="L62" s="70">
        <f t="shared" si="34"/>
        <v>0.55691999999999997</v>
      </c>
      <c r="M62" s="70">
        <f t="shared" si="34"/>
        <v>1.2269920000000001</v>
      </c>
      <c r="N62" s="70">
        <f t="shared" si="34"/>
        <v>1.7821440000000002</v>
      </c>
    </row>
    <row r="63" spans="1:14" x14ac:dyDescent="0.2">
      <c r="B63" s="305" t="s">
        <v>44</v>
      </c>
      <c r="C63" s="70">
        <f t="shared" ref="C63:N63" si="35">+C35*C49</f>
        <v>0</v>
      </c>
      <c r="D63" s="70">
        <f t="shared" si="35"/>
        <v>0</v>
      </c>
      <c r="E63" s="70">
        <f t="shared" si="35"/>
        <v>0</v>
      </c>
      <c r="F63" s="70">
        <f t="shared" si="35"/>
        <v>0</v>
      </c>
      <c r="G63" s="70">
        <f t="shared" si="35"/>
        <v>0</v>
      </c>
      <c r="H63" s="70">
        <f t="shared" si="35"/>
        <v>0</v>
      </c>
      <c r="I63" s="70">
        <f t="shared" si="35"/>
        <v>0</v>
      </c>
      <c r="J63" s="70">
        <f t="shared" si="35"/>
        <v>0</v>
      </c>
      <c r="K63" s="70">
        <f t="shared" si="35"/>
        <v>0</v>
      </c>
      <c r="L63" s="70">
        <f t="shared" si="35"/>
        <v>0</v>
      </c>
      <c r="M63" s="70">
        <f t="shared" si="35"/>
        <v>0</v>
      </c>
      <c r="N63" s="70">
        <f t="shared" si="35"/>
        <v>0</v>
      </c>
    </row>
    <row r="64" spans="1:14" x14ac:dyDescent="0.2">
      <c r="B64" s="305" t="s">
        <v>45</v>
      </c>
      <c r="C64" s="70">
        <f t="shared" ref="C64:N64" si="36">+C36*C50</f>
        <v>0.18383000000000041</v>
      </c>
      <c r="D64" s="70">
        <f t="shared" si="36"/>
        <v>0.29946500000000065</v>
      </c>
      <c r="E64" s="70">
        <f t="shared" si="36"/>
        <v>0.20221300000000045</v>
      </c>
      <c r="F64" s="70">
        <f t="shared" si="36"/>
        <v>0.29472100000000062</v>
      </c>
      <c r="G64" s="70">
        <f t="shared" si="36"/>
        <v>0.20043400000000045</v>
      </c>
      <c r="H64" s="70">
        <f t="shared" si="36"/>
        <v>0.20814300000000044</v>
      </c>
      <c r="I64" s="70">
        <f t="shared" si="36"/>
        <v>0.19806200000000043</v>
      </c>
      <c r="J64" s="70">
        <f t="shared" si="36"/>
        <v>0.19035300000000041</v>
      </c>
      <c r="K64" s="70">
        <f t="shared" si="36"/>
        <v>0.25676900000000058</v>
      </c>
      <c r="L64" s="70">
        <f t="shared" si="36"/>
        <v>0.18679500000000041</v>
      </c>
      <c r="M64" s="70">
        <f t="shared" si="36"/>
        <v>0.41154200000000091</v>
      </c>
      <c r="N64" s="70">
        <f t="shared" si="36"/>
        <v>0.59774400000000127</v>
      </c>
    </row>
    <row r="65" spans="1:15" x14ac:dyDescent="0.2">
      <c r="B65" s="305" t="s">
        <v>46</v>
      </c>
      <c r="C65" s="87">
        <f t="shared" ref="C65:N65" si="37">+C7-SUM(C55:C64)</f>
        <v>0.99757999999999969</v>
      </c>
      <c r="D65" s="87">
        <f t="shared" si="37"/>
        <v>1.6250899999999988</v>
      </c>
      <c r="E65" s="87">
        <f t="shared" si="37"/>
        <v>1.0973379999999997</v>
      </c>
      <c r="F65" s="87">
        <f t="shared" si="37"/>
        <v>1.5993459999999993</v>
      </c>
      <c r="G65" s="87">
        <f t="shared" si="37"/>
        <v>1.0876839999999994</v>
      </c>
      <c r="H65" s="87">
        <f t="shared" si="37"/>
        <v>1.1295179999999991</v>
      </c>
      <c r="I65" s="87">
        <f t="shared" si="37"/>
        <v>1.0748119999999992</v>
      </c>
      <c r="J65" s="87">
        <f t="shared" si="37"/>
        <v>1.0329779999999995</v>
      </c>
      <c r="K65" s="87">
        <f t="shared" si="37"/>
        <v>1.3933939999999989</v>
      </c>
      <c r="L65" s="87">
        <f t="shared" si="37"/>
        <v>1.0136699999999994</v>
      </c>
      <c r="M65" s="87">
        <f t="shared" si="37"/>
        <v>2.2332919999999996</v>
      </c>
      <c r="N65" s="87">
        <f t="shared" si="37"/>
        <v>5.2093439999999989</v>
      </c>
    </row>
    <row r="66" spans="1:15" x14ac:dyDescent="0.2">
      <c r="C66" s="70">
        <f t="shared" ref="C66:N66" si="38">SUM(C55:C65)</f>
        <v>3.1</v>
      </c>
      <c r="D66" s="70">
        <f t="shared" si="38"/>
        <v>5.05</v>
      </c>
      <c r="E66" s="70">
        <f t="shared" si="38"/>
        <v>3.41</v>
      </c>
      <c r="F66" s="70">
        <f t="shared" si="38"/>
        <v>4.97</v>
      </c>
      <c r="G66" s="70">
        <f t="shared" si="38"/>
        <v>3.38</v>
      </c>
      <c r="H66" s="70">
        <f t="shared" si="38"/>
        <v>3.51</v>
      </c>
      <c r="I66" s="70">
        <f t="shared" si="38"/>
        <v>3.34</v>
      </c>
      <c r="J66" s="70">
        <f t="shared" si="38"/>
        <v>3.21</v>
      </c>
      <c r="K66" s="70">
        <f t="shared" si="38"/>
        <v>4.33</v>
      </c>
      <c r="L66" s="70">
        <f t="shared" si="38"/>
        <v>3.15</v>
      </c>
      <c r="M66" s="70">
        <f t="shared" si="38"/>
        <v>6.94</v>
      </c>
      <c r="N66" s="70">
        <f t="shared" si="38"/>
        <v>10.08</v>
      </c>
    </row>
    <row r="67" spans="1:15" ht="8.1" customHeight="1" x14ac:dyDescent="0.2"/>
    <row r="68" spans="1:15" x14ac:dyDescent="0.2">
      <c r="A68" s="338" t="s">
        <v>50</v>
      </c>
      <c r="C68" s="305">
        <v>1.1000000000000001</v>
      </c>
      <c r="E68" s="305" t="s">
        <v>96</v>
      </c>
    </row>
    <row r="69" spans="1:15" x14ac:dyDescent="0.2">
      <c r="B69" s="305" t="s">
        <v>24</v>
      </c>
      <c r="C69" s="365">
        <v>65.3</v>
      </c>
      <c r="D69" s="365">
        <v>85.06</v>
      </c>
      <c r="E69" s="365">
        <v>98.56</v>
      </c>
      <c r="F69" s="365">
        <v>81.63</v>
      </c>
      <c r="G69" s="366">
        <v>63.02</v>
      </c>
      <c r="H69" s="366">
        <v>60.33</v>
      </c>
      <c r="I69" s="365">
        <v>65.930000000000007</v>
      </c>
      <c r="J69" s="365">
        <v>63.69</v>
      </c>
      <c r="K69" s="365">
        <v>39.799999999999997</v>
      </c>
      <c r="L69" s="364">
        <v>-18.13</v>
      </c>
      <c r="M69" s="364">
        <v>-16.23</v>
      </c>
      <c r="N69" s="365">
        <v>0</v>
      </c>
    </row>
    <row r="70" spans="1:15" x14ac:dyDescent="0.2">
      <c r="B70" s="305" t="s">
        <v>28</v>
      </c>
      <c r="C70" s="365">
        <v>132.68</v>
      </c>
      <c r="D70" s="365">
        <v>159.52000000000001</v>
      </c>
      <c r="E70" s="365">
        <v>163.29</v>
      </c>
      <c r="F70" s="365">
        <v>145.72999999999999</v>
      </c>
      <c r="G70" s="366">
        <v>110.68</v>
      </c>
      <c r="H70" s="366">
        <v>81.77</v>
      </c>
      <c r="I70" s="365">
        <v>114.18</v>
      </c>
      <c r="J70" s="365">
        <v>107.57</v>
      </c>
      <c r="K70" s="365">
        <v>105.09</v>
      </c>
      <c r="L70" s="365">
        <v>62.76</v>
      </c>
      <c r="M70" s="365">
        <v>56.69</v>
      </c>
      <c r="N70" s="374">
        <v>57.61</v>
      </c>
    </row>
    <row r="71" spans="1:15" x14ac:dyDescent="0.2">
      <c r="B71" s="305" t="s">
        <v>39</v>
      </c>
      <c r="C71" s="365">
        <v>0</v>
      </c>
      <c r="D71" s="365"/>
      <c r="E71" s="365"/>
      <c r="F71" s="365"/>
      <c r="G71" s="366"/>
      <c r="H71" s="366"/>
      <c r="I71" s="365"/>
      <c r="J71" s="365"/>
      <c r="K71" s="365"/>
      <c r="L71" s="365"/>
      <c r="M71" s="365"/>
      <c r="N71" s="365"/>
    </row>
    <row r="72" spans="1:15" x14ac:dyDescent="0.2">
      <c r="B72" s="305" t="s">
        <v>40</v>
      </c>
      <c r="C72" s="365">
        <v>71.989999999999995</v>
      </c>
      <c r="D72" s="365">
        <v>69.08</v>
      </c>
      <c r="E72" s="365">
        <v>67.63</v>
      </c>
      <c r="F72" s="365">
        <v>78.11</v>
      </c>
      <c r="G72" s="366">
        <v>86.53</v>
      </c>
      <c r="H72" s="366">
        <v>76.06</v>
      </c>
      <c r="I72" s="365">
        <v>78.08</v>
      </c>
      <c r="J72" s="365">
        <v>88.61</v>
      </c>
      <c r="K72" s="365">
        <v>102.96</v>
      </c>
      <c r="L72" s="365">
        <v>92.72</v>
      </c>
      <c r="M72" s="365">
        <v>106.7</v>
      </c>
      <c r="N72" s="374">
        <v>109.51</v>
      </c>
    </row>
    <row r="73" spans="1:15" x14ac:dyDescent="0.2">
      <c r="B73" s="305" t="s">
        <v>41</v>
      </c>
      <c r="C73" s="365">
        <v>92.51</v>
      </c>
      <c r="D73" s="365">
        <v>70.599999999999994</v>
      </c>
      <c r="E73" s="365">
        <v>62.55</v>
      </c>
      <c r="F73" s="365">
        <v>83.03</v>
      </c>
      <c r="G73" s="366">
        <v>72.099999999999994</v>
      </c>
      <c r="H73" s="366">
        <v>48.29</v>
      </c>
      <c r="I73" s="365">
        <v>50.05</v>
      </c>
      <c r="J73" s="365">
        <v>51.67</v>
      </c>
      <c r="K73" s="365">
        <v>53.44</v>
      </c>
      <c r="L73" s="365">
        <v>85.33</v>
      </c>
      <c r="M73" s="365">
        <v>105.24</v>
      </c>
      <c r="N73" s="374">
        <v>107.91</v>
      </c>
    </row>
    <row r="74" spans="1:15" x14ac:dyDescent="0.2">
      <c r="B74" s="305" t="s">
        <v>42</v>
      </c>
      <c r="C74" s="365">
        <v>905.35</v>
      </c>
      <c r="D74" s="365">
        <v>894.34</v>
      </c>
      <c r="E74" s="365">
        <v>871.1</v>
      </c>
      <c r="F74" s="365">
        <v>905.36</v>
      </c>
      <c r="G74" s="366">
        <v>953.11</v>
      </c>
      <c r="H74" s="366">
        <v>980.71</v>
      </c>
      <c r="I74" s="365">
        <v>971.66</v>
      </c>
      <c r="J74" s="365">
        <v>973.36</v>
      </c>
      <c r="K74" s="365">
        <v>1013.02</v>
      </c>
      <c r="L74" s="365">
        <v>988.19</v>
      </c>
      <c r="M74" s="365">
        <v>977.91</v>
      </c>
      <c r="N74" s="374">
        <v>989.87</v>
      </c>
    </row>
    <row r="75" spans="1:15" x14ac:dyDescent="0.2">
      <c r="B75" s="305" t="s">
        <v>43</v>
      </c>
      <c r="C75" s="365">
        <v>0</v>
      </c>
      <c r="D75" s="365"/>
      <c r="E75" s="365"/>
      <c r="F75" s="365"/>
      <c r="G75" s="366"/>
      <c r="H75" s="366"/>
      <c r="I75" s="365"/>
      <c r="J75" s="365"/>
      <c r="K75" s="365"/>
      <c r="L75" s="365"/>
      <c r="M75" s="365"/>
      <c r="N75" s="365"/>
    </row>
    <row r="76" spans="1:15" x14ac:dyDescent="0.2">
      <c r="B76" s="305" t="s">
        <v>36</v>
      </c>
      <c r="C76" s="365">
        <v>-15.91</v>
      </c>
      <c r="D76" s="365">
        <v>-6.4</v>
      </c>
      <c r="E76" s="365">
        <v>-6.61</v>
      </c>
      <c r="F76" s="365">
        <v>-4.34</v>
      </c>
      <c r="G76" s="366">
        <v>-5.61</v>
      </c>
      <c r="H76" s="366">
        <v>-8.7799999999999994</v>
      </c>
      <c r="I76" s="365">
        <v>-2.5099999999999998</v>
      </c>
      <c r="J76" s="365">
        <v>-9.4600000000000009</v>
      </c>
      <c r="K76" s="365">
        <v>-9.98</v>
      </c>
      <c r="L76" s="365">
        <v>-8.01</v>
      </c>
      <c r="M76" s="365">
        <v>-9</v>
      </c>
      <c r="N76" s="365">
        <v>-10.23</v>
      </c>
    </row>
    <row r="77" spans="1:15" x14ac:dyDescent="0.2">
      <c r="B77" s="305" t="s">
        <v>44</v>
      </c>
      <c r="C77" s="364"/>
      <c r="D77" s="364"/>
      <c r="E77" s="364"/>
      <c r="F77" s="364"/>
      <c r="G77" s="367"/>
      <c r="H77" s="367"/>
      <c r="I77" s="364"/>
      <c r="J77" s="364"/>
      <c r="K77" s="364"/>
      <c r="L77" s="364"/>
      <c r="M77" s="364"/>
      <c r="N77" s="374"/>
    </row>
    <row r="78" spans="1:15" x14ac:dyDescent="0.2">
      <c r="B78" s="305" t="s">
        <v>45</v>
      </c>
      <c r="C78" s="364">
        <v>-134.59</v>
      </c>
      <c r="D78" s="364">
        <v>-134.59</v>
      </c>
      <c r="E78" s="364">
        <v>-134.59</v>
      </c>
      <c r="F78" s="364">
        <v>-134.59</v>
      </c>
      <c r="G78" s="367">
        <v>-134.59</v>
      </c>
      <c r="H78" s="367">
        <v>-134.59</v>
      </c>
      <c r="I78" s="364">
        <v>-134.59</v>
      </c>
      <c r="J78" s="364">
        <v>-134.59</v>
      </c>
      <c r="K78" s="364">
        <v>-134.59</v>
      </c>
      <c r="L78" s="364">
        <v>-134.59</v>
      </c>
      <c r="M78" s="364">
        <v>-134.59</v>
      </c>
      <c r="N78" s="374">
        <v>-134.59</v>
      </c>
    </row>
    <row r="79" spans="1:15" x14ac:dyDescent="0.2">
      <c r="B79" s="305" t="s">
        <v>46</v>
      </c>
      <c r="C79" s="365">
        <v>60.14</v>
      </c>
      <c r="D79" s="365">
        <v>78.88</v>
      </c>
      <c r="E79" s="365">
        <v>93.44</v>
      </c>
      <c r="F79" s="365">
        <v>77.209999999999994</v>
      </c>
      <c r="G79" s="366">
        <v>57.85</v>
      </c>
      <c r="H79" s="366">
        <v>55.22</v>
      </c>
      <c r="I79" s="365">
        <v>52.85</v>
      </c>
      <c r="J79" s="365">
        <v>49.88</v>
      </c>
      <c r="K79" s="365">
        <v>40.17</v>
      </c>
      <c r="L79" s="364">
        <v>-21.81</v>
      </c>
      <c r="M79" s="364">
        <v>-21.39</v>
      </c>
      <c r="N79" s="374">
        <v>-20.59</v>
      </c>
      <c r="O79" s="330">
        <f>SUM(C69:N79)</f>
        <v>14011.14</v>
      </c>
    </row>
    <row r="80" spans="1:15" ht="8.1" customHeight="1" x14ac:dyDescent="0.2"/>
    <row r="81" spans="1:16" x14ac:dyDescent="0.2">
      <c r="A81" s="327" t="s">
        <v>51</v>
      </c>
    </row>
    <row r="82" spans="1:16" x14ac:dyDescent="0.2">
      <c r="B82" s="305" t="s">
        <v>24</v>
      </c>
      <c r="C82" s="73">
        <f t="shared" ref="C82:N82" si="39">+C69*C55</f>
        <v>39.473849999999999</v>
      </c>
      <c r="D82" s="70">
        <f t="shared" si="39"/>
        <v>83.76283500000001</v>
      </c>
      <c r="E82" s="70">
        <f t="shared" si="39"/>
        <v>65.537472000000008</v>
      </c>
      <c r="F82" s="70">
        <f t="shared" si="39"/>
        <v>79.111714499999991</v>
      </c>
      <c r="G82" s="70">
        <f t="shared" si="39"/>
        <v>41.536482000000007</v>
      </c>
      <c r="H82" s="70">
        <f t="shared" si="39"/>
        <v>41.292868499999997</v>
      </c>
      <c r="I82" s="70">
        <f t="shared" si="39"/>
        <v>42.940209000000003</v>
      </c>
      <c r="J82" s="70">
        <f t="shared" si="39"/>
        <v>39.866755499999996</v>
      </c>
      <c r="K82" s="70">
        <f t="shared" si="39"/>
        <v>33.605130000000003</v>
      </c>
      <c r="L82" s="70">
        <f t="shared" si="39"/>
        <v>-11.136352499999999</v>
      </c>
      <c r="M82" s="70">
        <f t="shared" si="39"/>
        <v>-21.964059000000002</v>
      </c>
      <c r="N82" s="70">
        <f t="shared" si="39"/>
        <v>0</v>
      </c>
      <c r="O82" s="330">
        <f t="shared" ref="O82:O93" si="40">SUM(C82:N82)</f>
        <v>434.026905</v>
      </c>
    </row>
    <row r="83" spans="1:16" x14ac:dyDescent="0.2">
      <c r="B83" s="305" t="s">
        <v>28</v>
      </c>
      <c r="C83" s="73">
        <f t="shared" ref="C83:N83" si="41">+C70*C56</f>
        <v>73.295085600000007</v>
      </c>
      <c r="D83" s="70">
        <f t="shared" si="41"/>
        <v>143.55364320000001</v>
      </c>
      <c r="E83" s="70">
        <f t="shared" si="41"/>
        <v>99.225127979999996</v>
      </c>
      <c r="F83" s="70">
        <f t="shared" si="41"/>
        <v>129.06635741999997</v>
      </c>
      <c r="G83" s="70">
        <f t="shared" si="41"/>
        <v>66.664334879999998</v>
      </c>
      <c r="H83" s="70">
        <f t="shared" si="41"/>
        <v>51.145663139999996</v>
      </c>
      <c r="I83" s="70">
        <f t="shared" si="41"/>
        <v>67.958565839999991</v>
      </c>
      <c r="J83" s="70">
        <f t="shared" si="41"/>
        <v>61.532406539999997</v>
      </c>
      <c r="K83" s="70">
        <f t="shared" si="41"/>
        <v>81.088074540000008</v>
      </c>
      <c r="L83" s="70">
        <f t="shared" si="41"/>
        <v>35.229070799999995</v>
      </c>
      <c r="M83" s="70">
        <f t="shared" si="41"/>
        <v>70.108976519999999</v>
      </c>
      <c r="N83" s="70">
        <f t="shared" si="41"/>
        <v>103.48230816</v>
      </c>
      <c r="O83" s="330">
        <f t="shared" si="40"/>
        <v>982.34961462000001</v>
      </c>
    </row>
    <row r="84" spans="1:16" x14ac:dyDescent="0.2">
      <c r="B84" s="305" t="s">
        <v>39</v>
      </c>
      <c r="C84" s="73">
        <f t="shared" ref="C84:H92" si="42">+C71*C57</f>
        <v>0</v>
      </c>
      <c r="D84" s="70">
        <f t="shared" si="42"/>
        <v>0</v>
      </c>
      <c r="E84" s="70">
        <f t="shared" si="42"/>
        <v>0</v>
      </c>
      <c r="F84" s="70">
        <f t="shared" si="42"/>
        <v>0</v>
      </c>
      <c r="G84" s="70">
        <f t="shared" si="42"/>
        <v>0</v>
      </c>
      <c r="H84" s="70">
        <f t="shared" si="42"/>
        <v>0</v>
      </c>
      <c r="I84" s="70"/>
      <c r="J84" s="70">
        <f t="shared" ref="J84:N92" si="43">+J71*J57</f>
        <v>0</v>
      </c>
      <c r="K84" s="70">
        <f t="shared" si="43"/>
        <v>0</v>
      </c>
      <c r="L84" s="70">
        <f t="shared" si="43"/>
        <v>0</v>
      </c>
      <c r="M84" s="70">
        <f t="shared" si="43"/>
        <v>0</v>
      </c>
      <c r="N84" s="70">
        <f t="shared" si="43"/>
        <v>0</v>
      </c>
      <c r="O84" s="330">
        <f t="shared" si="40"/>
        <v>0</v>
      </c>
    </row>
    <row r="85" spans="1:16" x14ac:dyDescent="0.2">
      <c r="B85" s="305" t="s">
        <v>40</v>
      </c>
      <c r="C85" s="73">
        <f t="shared" si="42"/>
        <v>3.6822884999999999</v>
      </c>
      <c r="D85" s="70">
        <f t="shared" si="42"/>
        <v>5.7560909999999996</v>
      </c>
      <c r="E85" s="70">
        <f t="shared" si="42"/>
        <v>3.8052019499999998</v>
      </c>
      <c r="F85" s="70">
        <f t="shared" si="42"/>
        <v>6.4054105499999991</v>
      </c>
      <c r="G85" s="70">
        <f t="shared" si="42"/>
        <v>4.8257781</v>
      </c>
      <c r="H85" s="70">
        <f t="shared" si="42"/>
        <v>4.4050149000000003</v>
      </c>
      <c r="I85" s="70">
        <f>+I72*I58</f>
        <v>4.3029887999999996</v>
      </c>
      <c r="J85" s="70">
        <f t="shared" si="43"/>
        <v>4.69322865</v>
      </c>
      <c r="K85" s="70">
        <f t="shared" si="43"/>
        <v>7.3559772000000008</v>
      </c>
      <c r="L85" s="70">
        <f t="shared" si="43"/>
        <v>4.8191220000000001</v>
      </c>
      <c r="M85" s="70">
        <f t="shared" si="43"/>
        <v>12.218217000000001</v>
      </c>
      <c r="N85" s="70">
        <f t="shared" si="43"/>
        <v>18.213703200000001</v>
      </c>
      <c r="O85" s="330">
        <f t="shared" si="40"/>
        <v>80.48302185</v>
      </c>
    </row>
    <row r="86" spans="1:16" x14ac:dyDescent="0.2">
      <c r="B86" s="305" t="s">
        <v>41</v>
      </c>
      <c r="C86" s="73">
        <f t="shared" si="42"/>
        <v>12.876466900000002</v>
      </c>
      <c r="D86" s="70">
        <f t="shared" si="42"/>
        <v>16.008196999999999</v>
      </c>
      <c r="E86" s="70">
        <f t="shared" si="42"/>
        <v>9.5769679500000002</v>
      </c>
      <c r="F86" s="70">
        <f t="shared" si="42"/>
        <v>18.52839359</v>
      </c>
      <c r="G86" s="70">
        <f t="shared" si="42"/>
        <v>10.942040199999999</v>
      </c>
      <c r="H86" s="70">
        <f t="shared" si="42"/>
        <v>7.6104557099999992</v>
      </c>
      <c r="I86" s="70">
        <f>+I73*I59</f>
        <v>7.5057982999999986</v>
      </c>
      <c r="J86" s="70">
        <f t="shared" si="43"/>
        <v>7.4471454300000008</v>
      </c>
      <c r="K86" s="70">
        <f t="shared" si="43"/>
        <v>10.389644479999999</v>
      </c>
      <c r="L86" s="70">
        <f t="shared" si="43"/>
        <v>12.068648550000001</v>
      </c>
      <c r="M86" s="70">
        <f t="shared" si="43"/>
        <v>32.793415440000004</v>
      </c>
      <c r="N86" s="70">
        <f t="shared" si="43"/>
        <v>48.839202720000003</v>
      </c>
      <c r="O86" s="330">
        <f t="shared" si="40"/>
        <v>194.58637627000002</v>
      </c>
    </row>
    <row r="87" spans="1:16" x14ac:dyDescent="0.2">
      <c r="B87" s="305" t="s">
        <v>42</v>
      </c>
      <c r="C87" s="73">
        <f t="shared" si="42"/>
        <v>21.049387500000002</v>
      </c>
      <c r="D87" s="70">
        <f t="shared" si="42"/>
        <v>33.873127500000002</v>
      </c>
      <c r="E87" s="70">
        <f t="shared" si="42"/>
        <v>22.278382499999999</v>
      </c>
      <c r="F87" s="70">
        <f t="shared" si="42"/>
        <v>33.747293999999997</v>
      </c>
      <c r="G87" s="70">
        <f t="shared" si="42"/>
        <v>24.161338499999999</v>
      </c>
      <c r="H87" s="70">
        <f t="shared" si="42"/>
        <v>25.817190749999998</v>
      </c>
      <c r="I87" s="70">
        <f>+I74*I60</f>
        <v>24.340083</v>
      </c>
      <c r="J87" s="70">
        <f t="shared" si="43"/>
        <v>23.433641999999999</v>
      </c>
      <c r="K87" s="70">
        <f t="shared" si="43"/>
        <v>32.897824499999999</v>
      </c>
      <c r="L87" s="70">
        <f t="shared" si="43"/>
        <v>23.34598875</v>
      </c>
      <c r="M87" s="70">
        <f t="shared" si="43"/>
        <v>50.900215499999995</v>
      </c>
      <c r="N87" s="70">
        <f t="shared" si="43"/>
        <v>74.834171999999995</v>
      </c>
      <c r="O87" s="330">
        <f t="shared" si="40"/>
        <v>390.67864650000001</v>
      </c>
    </row>
    <row r="88" spans="1:16" x14ac:dyDescent="0.2">
      <c r="B88" s="305" t="s">
        <v>43</v>
      </c>
      <c r="C88" s="73">
        <f t="shared" si="42"/>
        <v>0</v>
      </c>
      <c r="D88" s="70">
        <f t="shared" si="42"/>
        <v>0</v>
      </c>
      <c r="E88" s="70">
        <f t="shared" si="42"/>
        <v>0</v>
      </c>
      <c r="F88" s="70">
        <f t="shared" si="42"/>
        <v>0</v>
      </c>
      <c r="G88" s="70">
        <f t="shared" si="42"/>
        <v>0</v>
      </c>
      <c r="H88" s="70">
        <f t="shared" si="42"/>
        <v>0</v>
      </c>
      <c r="I88" s="70"/>
      <c r="J88" s="70">
        <f t="shared" si="43"/>
        <v>0</v>
      </c>
      <c r="K88" s="70">
        <f t="shared" si="43"/>
        <v>0</v>
      </c>
      <c r="L88" s="70">
        <f t="shared" si="43"/>
        <v>0</v>
      </c>
      <c r="M88" s="70">
        <f t="shared" si="43"/>
        <v>0</v>
      </c>
      <c r="N88" s="70">
        <f t="shared" si="43"/>
        <v>0</v>
      </c>
      <c r="O88" s="330">
        <f t="shared" si="40"/>
        <v>0</v>
      </c>
    </row>
    <row r="89" spans="1:16" x14ac:dyDescent="0.2">
      <c r="B89" s="305" t="s">
        <v>36</v>
      </c>
      <c r="C89" s="73">
        <f t="shared" si="42"/>
        <v>-8.7199527999999997</v>
      </c>
      <c r="D89" s="70">
        <f t="shared" si="42"/>
        <v>-5.714176000000001</v>
      </c>
      <c r="E89" s="70">
        <f t="shared" si="42"/>
        <v>-3.9850896800000006</v>
      </c>
      <c r="F89" s="70">
        <f t="shared" si="42"/>
        <v>-3.8135406399999998</v>
      </c>
      <c r="G89" s="70">
        <f t="shared" si="42"/>
        <v>-3.3524462400000004</v>
      </c>
      <c r="H89" s="70">
        <f t="shared" si="42"/>
        <v>-5.4485870399999996</v>
      </c>
      <c r="I89" s="70">
        <f>+I76*I62</f>
        <v>-1.48218512</v>
      </c>
      <c r="J89" s="70">
        <f t="shared" si="43"/>
        <v>-5.3688148800000004</v>
      </c>
      <c r="K89" s="70">
        <f t="shared" si="43"/>
        <v>-7.6401291200000019</v>
      </c>
      <c r="L89" s="70">
        <f t="shared" si="43"/>
        <v>-4.4609291999999998</v>
      </c>
      <c r="M89" s="70">
        <f t="shared" si="43"/>
        <v>-11.042928</v>
      </c>
      <c r="N89" s="70">
        <f t="shared" si="43"/>
        <v>-18.231333120000002</v>
      </c>
      <c r="O89" s="330">
        <f t="shared" si="40"/>
        <v>-79.260111840000008</v>
      </c>
    </row>
    <row r="90" spans="1:16" x14ac:dyDescent="0.2">
      <c r="B90" s="305" t="s">
        <v>44</v>
      </c>
      <c r="C90" s="73">
        <f t="shared" si="42"/>
        <v>0</v>
      </c>
      <c r="D90" s="70">
        <f t="shared" si="42"/>
        <v>0</v>
      </c>
      <c r="E90" s="70">
        <f t="shared" si="42"/>
        <v>0</v>
      </c>
      <c r="F90" s="70">
        <f t="shared" si="42"/>
        <v>0</v>
      </c>
      <c r="G90" s="70">
        <f t="shared" si="42"/>
        <v>0</v>
      </c>
      <c r="H90" s="70">
        <f t="shared" si="42"/>
        <v>0</v>
      </c>
      <c r="I90" s="70">
        <f>+I77*I63</f>
        <v>0</v>
      </c>
      <c r="J90" s="70">
        <f t="shared" si="43"/>
        <v>0</v>
      </c>
      <c r="K90" s="70">
        <f t="shared" si="43"/>
        <v>0</v>
      </c>
      <c r="L90" s="70">
        <f t="shared" si="43"/>
        <v>0</v>
      </c>
      <c r="M90" s="70">
        <f t="shared" si="43"/>
        <v>0</v>
      </c>
      <c r="N90" s="70">
        <f t="shared" si="43"/>
        <v>0</v>
      </c>
      <c r="O90" s="330">
        <f t="shared" si="40"/>
        <v>0</v>
      </c>
    </row>
    <row r="91" spans="1:16" x14ac:dyDescent="0.2">
      <c r="B91" s="305" t="s">
        <v>45</v>
      </c>
      <c r="C91" s="73">
        <f t="shared" si="42"/>
        <v>-24.741679700000056</v>
      </c>
      <c r="D91" s="70">
        <f t="shared" si="42"/>
        <v>-40.304994350000086</v>
      </c>
      <c r="E91" s="70">
        <f t="shared" si="42"/>
        <v>-27.215847670000063</v>
      </c>
      <c r="F91" s="70">
        <f t="shared" si="42"/>
        <v>-39.666499390000084</v>
      </c>
      <c r="G91" s="70">
        <f t="shared" si="42"/>
        <v>-26.976412060000062</v>
      </c>
      <c r="H91" s="70">
        <f t="shared" si="42"/>
        <v>-28.013966370000059</v>
      </c>
      <c r="I91" s="70">
        <f>+I78*I64</f>
        <v>-26.65716458000006</v>
      </c>
      <c r="J91" s="70">
        <f t="shared" si="43"/>
        <v>-25.619610270000056</v>
      </c>
      <c r="K91" s="70">
        <f t="shared" si="43"/>
        <v>-34.558539710000076</v>
      </c>
      <c r="L91" s="70">
        <f t="shared" si="43"/>
        <v>-25.140739050000054</v>
      </c>
      <c r="M91" s="70">
        <f t="shared" si="43"/>
        <v>-55.389437780000122</v>
      </c>
      <c r="N91" s="70">
        <f t="shared" si="43"/>
        <v>-80.450364960000172</v>
      </c>
      <c r="O91" s="330">
        <f t="shared" si="40"/>
        <v>-434.73525589000093</v>
      </c>
    </row>
    <row r="92" spans="1:16" x14ac:dyDescent="0.2">
      <c r="B92" s="305" t="s">
        <v>46</v>
      </c>
      <c r="C92" s="98">
        <f t="shared" si="42"/>
        <v>59.994461199999982</v>
      </c>
      <c r="D92" s="87">
        <f t="shared" si="42"/>
        <v>128.18709919999989</v>
      </c>
      <c r="E92" s="87">
        <f t="shared" si="42"/>
        <v>102.53526271999996</v>
      </c>
      <c r="F92" s="87">
        <f t="shared" si="42"/>
        <v>123.48550465999993</v>
      </c>
      <c r="G92" s="87">
        <f t="shared" si="42"/>
        <v>62.92251939999997</v>
      </c>
      <c r="H92" s="87">
        <f t="shared" si="42"/>
        <v>62.371983959999952</v>
      </c>
      <c r="I92" s="87">
        <f>+I79*I65</f>
        <v>56.803814199999962</v>
      </c>
      <c r="J92" s="87">
        <f t="shared" si="43"/>
        <v>51.524942639999978</v>
      </c>
      <c r="K92" s="70">
        <f t="shared" si="43"/>
        <v>55.972636979999962</v>
      </c>
      <c r="L92" s="70">
        <f t="shared" si="43"/>
        <v>-22.108142699999984</v>
      </c>
      <c r="M92" s="70">
        <f t="shared" si="43"/>
        <v>-47.770115879999992</v>
      </c>
      <c r="N92" s="70">
        <f t="shared" si="43"/>
        <v>-107.26039295999998</v>
      </c>
      <c r="O92" s="330">
        <f t="shared" si="40"/>
        <v>526.65957341999956</v>
      </c>
    </row>
    <row r="93" spans="1:16" x14ac:dyDescent="0.2">
      <c r="A93" s="327" t="s">
        <v>52</v>
      </c>
      <c r="B93" s="327"/>
      <c r="C93" s="177">
        <f t="shared" ref="C93:N93" si="44">SUM(C82:C92)</f>
        <v>176.90990719999996</v>
      </c>
      <c r="D93" s="178">
        <f t="shared" si="44"/>
        <v>365.12182254999982</v>
      </c>
      <c r="E93" s="178">
        <f t="shared" si="44"/>
        <v>271.75747774999991</v>
      </c>
      <c r="F93" s="178">
        <f t="shared" si="44"/>
        <v>346.86463468999989</v>
      </c>
      <c r="G93" s="178">
        <f t="shared" si="44"/>
        <v>180.72363477999988</v>
      </c>
      <c r="H93" s="178">
        <f t="shared" si="44"/>
        <v>159.18062354999986</v>
      </c>
      <c r="I93" s="178">
        <f t="shared" si="44"/>
        <v>175.71210943999989</v>
      </c>
      <c r="J93" s="178">
        <f t="shared" si="44"/>
        <v>157.50969560999994</v>
      </c>
      <c r="K93" s="179">
        <f t="shared" si="44"/>
        <v>179.11061886999988</v>
      </c>
      <c r="L93" s="179">
        <f t="shared" si="44"/>
        <v>12.616666649999946</v>
      </c>
      <c r="M93" s="179">
        <f t="shared" si="44"/>
        <v>29.854283799999905</v>
      </c>
      <c r="N93" s="179">
        <f t="shared" si="44"/>
        <v>39.427295039999834</v>
      </c>
      <c r="O93" s="330">
        <f t="shared" si="40"/>
        <v>2094.7887699299986</v>
      </c>
      <c r="P93" s="330">
        <f>O93/2</f>
        <v>1047.3943849649993</v>
      </c>
    </row>
    <row r="94" spans="1:16" x14ac:dyDescent="0.2">
      <c r="A94" s="327" t="s">
        <v>53</v>
      </c>
      <c r="B94" s="327"/>
      <c r="C94" s="177">
        <f t="shared" ref="C94:N94" si="45">+C93/C66</f>
        <v>57.067711999999986</v>
      </c>
      <c r="D94" s="178">
        <f t="shared" si="45"/>
        <v>72.301350999999968</v>
      </c>
      <c r="E94" s="178">
        <f t="shared" si="45"/>
        <v>79.694274999999976</v>
      </c>
      <c r="F94" s="178">
        <f t="shared" si="45"/>
        <v>69.791676999999979</v>
      </c>
      <c r="G94" s="178">
        <f t="shared" si="45"/>
        <v>53.46853099999997</v>
      </c>
      <c r="H94" s="178">
        <f t="shared" si="45"/>
        <v>45.350604999999966</v>
      </c>
      <c r="I94" s="178">
        <f t="shared" si="45"/>
        <v>52.60841599999997</v>
      </c>
      <c r="J94" s="178">
        <f t="shared" si="45"/>
        <v>49.068440999999979</v>
      </c>
      <c r="K94" s="180">
        <f t="shared" si="45"/>
        <v>41.365038999999975</v>
      </c>
      <c r="L94" s="180">
        <f t="shared" si="45"/>
        <v>4.0052909999999828</v>
      </c>
      <c r="M94" s="180">
        <f t="shared" si="45"/>
        <v>4.3017699999999861</v>
      </c>
      <c r="N94" s="180">
        <f t="shared" si="45"/>
        <v>3.9114379999999835</v>
      </c>
      <c r="O94" s="330"/>
    </row>
    <row r="95" spans="1:16" ht="8.1" customHeight="1" x14ac:dyDescent="0.2"/>
    <row r="96" spans="1:16" x14ac:dyDescent="0.2">
      <c r="A96" s="327"/>
      <c r="C96" s="330">
        <f t="shared" ref="C96:N96" si="46">C94*0.7</f>
        <v>39.94739839999999</v>
      </c>
      <c r="D96" s="330">
        <f t="shared" si="46"/>
        <v>50.610945699999974</v>
      </c>
      <c r="E96" s="330">
        <f t="shared" si="46"/>
        <v>55.785992499999978</v>
      </c>
      <c r="F96" s="330">
        <f t="shared" si="46"/>
        <v>48.854173899999985</v>
      </c>
      <c r="G96" s="330">
        <f t="shared" si="46"/>
        <v>37.427971699999979</v>
      </c>
      <c r="H96" s="330">
        <f t="shared" si="46"/>
        <v>31.745423499999973</v>
      </c>
      <c r="I96" s="330">
        <f t="shared" si="46"/>
        <v>36.82589119999998</v>
      </c>
      <c r="J96" s="330">
        <f t="shared" si="46"/>
        <v>34.347908699999984</v>
      </c>
      <c r="K96" s="330">
        <f t="shared" si="46"/>
        <v>28.955527299999979</v>
      </c>
      <c r="L96" s="330">
        <f t="shared" si="46"/>
        <v>2.8037036999999878</v>
      </c>
      <c r="M96" s="330">
        <f t="shared" si="46"/>
        <v>3.01123899999999</v>
      </c>
      <c r="N96" s="330">
        <f t="shared" si="46"/>
        <v>2.7380065999999883</v>
      </c>
    </row>
    <row r="97" spans="1:14" x14ac:dyDescent="0.2">
      <c r="C97" s="103"/>
      <c r="D97" s="103"/>
      <c r="E97" s="103"/>
      <c r="F97" s="103"/>
      <c r="G97" s="103"/>
      <c r="H97" s="103"/>
      <c r="I97" s="103"/>
      <c r="J97" s="103"/>
      <c r="K97" s="103"/>
      <c r="L97" s="103"/>
      <c r="M97" s="103"/>
      <c r="N97" s="103"/>
    </row>
    <row r="98" spans="1:14" x14ac:dyDescent="0.2">
      <c r="A98" s="327"/>
      <c r="B98" s="327"/>
      <c r="C98" s="177"/>
      <c r="D98" s="177"/>
      <c r="E98" s="177"/>
      <c r="F98" s="177"/>
      <c r="G98" s="177"/>
      <c r="H98" s="177"/>
      <c r="I98" s="177"/>
      <c r="J98" s="329"/>
    </row>
    <row r="99" spans="1:14" ht="8.1" customHeight="1" x14ac:dyDescent="0.2">
      <c r="C99" s="328"/>
      <c r="D99" s="328"/>
      <c r="E99" s="328"/>
      <c r="F99" s="328"/>
      <c r="G99" s="328"/>
      <c r="H99" s="328"/>
      <c r="I99" s="328"/>
      <c r="J99" s="328"/>
    </row>
    <row r="100" spans="1:14" x14ac:dyDescent="0.2">
      <c r="A100" s="327"/>
      <c r="B100" s="327"/>
      <c r="C100" s="329"/>
      <c r="D100" s="329"/>
      <c r="E100" s="329"/>
      <c r="F100" s="329"/>
      <c r="G100" s="329"/>
      <c r="H100" s="329"/>
      <c r="I100" s="329"/>
      <c r="J100" s="329"/>
    </row>
    <row r="101" spans="1:14" ht="8.1" customHeight="1" x14ac:dyDescent="0.2">
      <c r="C101" s="328"/>
      <c r="D101" s="328"/>
      <c r="E101" s="328"/>
      <c r="F101" s="328"/>
      <c r="G101" s="328"/>
      <c r="H101" s="328"/>
      <c r="I101" s="328"/>
      <c r="J101" s="328"/>
    </row>
    <row r="102" spans="1:14" x14ac:dyDescent="0.2">
      <c r="A102" s="327"/>
      <c r="C102" s="103"/>
      <c r="D102" s="103"/>
      <c r="E102" s="103"/>
      <c r="F102" s="103"/>
      <c r="G102" s="103"/>
      <c r="H102" s="103"/>
      <c r="I102" s="103"/>
      <c r="J102" s="106"/>
    </row>
  </sheetData>
  <pageMargins left="0.25" right="0.25" top="0.75" bottom="0.75" header="0.3" footer="0.3"/>
  <pageSetup scale="62" fitToWidth="0" orientation="portrait" horizontalDpi="4294967295" verticalDpi="4294967295" r:id="rId1"/>
  <headerFooter alignWithMargins="0"/>
  <rowBreaks count="1" manualBreakCount="1">
    <brk id="53" max="13" man="1"/>
  </row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A100"/>
  <sheetViews>
    <sheetView showGridLines="0" topLeftCell="A28" zoomScaleNormal="100" workbookViewId="0">
      <selection activeCell="M75" sqref="M75"/>
    </sheetView>
  </sheetViews>
  <sheetFormatPr defaultRowHeight="12.75" x14ac:dyDescent="0.2"/>
  <cols>
    <col min="1" max="1" width="13.7109375" style="5" customWidth="1"/>
    <col min="2" max="2" width="10.5703125" style="5" customWidth="1"/>
    <col min="3" max="3" width="4.42578125" style="5" customWidth="1"/>
    <col min="4" max="4" width="11.28515625" style="5" customWidth="1"/>
    <col min="5" max="5" width="5.85546875" style="5" customWidth="1"/>
    <col min="6" max="6" width="11.28515625" style="5" customWidth="1"/>
    <col min="7" max="7" width="8.7109375" style="5" customWidth="1"/>
    <col min="8" max="8" width="4.42578125" style="5" customWidth="1"/>
    <col min="9" max="9" width="9" style="5" bestFit="1" customWidth="1"/>
    <col min="10" max="10" width="10.85546875" style="5" customWidth="1"/>
    <col min="11" max="11" width="7.140625" style="5" customWidth="1"/>
    <col min="12" max="14" width="9.5703125" style="5" customWidth="1"/>
    <col min="15" max="15" width="15.28515625" style="5" bestFit="1" customWidth="1"/>
    <col min="16" max="16" width="36.7109375" style="5" bestFit="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0</v>
      </c>
      <c r="B1" s="2"/>
      <c r="C1" s="2"/>
      <c r="D1" s="2"/>
      <c r="E1" s="2"/>
      <c r="F1" s="2"/>
      <c r="G1" s="3"/>
      <c r="H1" s="2"/>
      <c r="I1" s="2"/>
      <c r="J1" s="1" t="s">
        <v>58</v>
      </c>
      <c r="K1" s="2"/>
      <c r="L1" s="2"/>
      <c r="M1" s="2"/>
      <c r="N1" s="2"/>
      <c r="O1" s="2"/>
      <c r="P1" s="2"/>
      <c r="Q1" s="2"/>
      <c r="R1" s="2"/>
      <c r="S1" s="2"/>
      <c r="T1" s="2"/>
      <c r="U1" s="2"/>
      <c r="V1" s="2"/>
      <c r="W1" s="4"/>
      <c r="X1" s="4"/>
      <c r="Y1" s="4"/>
      <c r="Z1" s="4"/>
      <c r="AA1" s="4"/>
    </row>
    <row r="2" spans="1:27" x14ac:dyDescent="0.2">
      <c r="A2" s="6" t="s">
        <v>1</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July "&amp;YEAR(A21)</f>
        <v>For the Year Ended July 2016</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81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3</v>
      </c>
      <c r="G5" s="11"/>
      <c r="H5" s="11"/>
      <c r="I5" s="11"/>
      <c r="J5" s="11"/>
      <c r="K5" s="11"/>
      <c r="L5" s="2"/>
      <c r="M5" s="2"/>
      <c r="N5" s="2"/>
      <c r="O5" s="114" t="str">
        <f>"Total "&amp;F5</f>
        <v>Total Commodity</v>
      </c>
      <c r="P5" s="115"/>
      <c r="Q5" s="2"/>
      <c r="R5" s="2"/>
      <c r="S5" s="2"/>
      <c r="T5" s="2"/>
      <c r="U5" s="2"/>
      <c r="V5" s="13"/>
      <c r="W5" s="14"/>
      <c r="X5" s="14"/>
      <c r="Y5" s="14"/>
      <c r="AA5" s="14"/>
    </row>
    <row r="6" spans="1:27" s="16" customFormat="1" ht="11.25" x14ac:dyDescent="0.2">
      <c r="A6" s="15"/>
      <c r="B6" s="12"/>
      <c r="C6" s="12"/>
      <c r="D6" s="12" t="s">
        <v>3</v>
      </c>
      <c r="E6" s="12"/>
      <c r="F6" s="12" t="s">
        <v>4</v>
      </c>
      <c r="G6" s="12"/>
      <c r="H6" s="12"/>
      <c r="I6" s="12"/>
      <c r="J6" s="12"/>
      <c r="K6" s="12"/>
      <c r="O6" s="116" t="str">
        <f>+F6</f>
        <v>Revenue</v>
      </c>
      <c r="P6" s="117"/>
    </row>
    <row r="7" spans="1:27" s="16" customFormat="1" ht="11.25" x14ac:dyDescent="0.2">
      <c r="A7" s="15" t="s">
        <v>6</v>
      </c>
      <c r="B7" s="12" t="s">
        <v>82</v>
      </c>
      <c r="C7" s="12"/>
      <c r="D7" s="12" t="s">
        <v>4</v>
      </c>
      <c r="E7" s="12"/>
      <c r="F7" s="12" t="s">
        <v>83</v>
      </c>
      <c r="G7" s="12"/>
      <c r="H7" s="12"/>
      <c r="I7" s="12"/>
      <c r="J7" s="12" t="s">
        <v>84</v>
      </c>
      <c r="K7" s="12"/>
      <c r="O7" s="116" t="str">
        <f>+F7</f>
        <v>per Yard</v>
      </c>
      <c r="P7" s="117"/>
    </row>
    <row r="8" spans="1:27" s="16" customFormat="1" ht="11.25" x14ac:dyDescent="0.2">
      <c r="A8" s="149">
        <f>+'Multi_Family (2)'!C6</f>
        <v>42155</v>
      </c>
      <c r="B8" s="18">
        <v>429.49</v>
      </c>
      <c r="C8" s="12"/>
      <c r="D8" s="150">
        <f>VLOOKUP(A8,'Value MF'!$A$6:$O$17,15,)</f>
        <v>90.101288159999953</v>
      </c>
      <c r="E8" s="12"/>
      <c r="F8" s="16">
        <f>ROUND(D8/B10,2)</f>
        <v>0.21</v>
      </c>
      <c r="G8" s="12"/>
      <c r="H8" s="12"/>
      <c r="I8" s="12"/>
      <c r="J8" s="14">
        <f>+B10</f>
        <v>429.49</v>
      </c>
      <c r="K8" s="13">
        <f>YEAR(A8)</f>
        <v>2015</v>
      </c>
      <c r="O8" s="118">
        <f>VLOOKUP(A8,'Value MF'!$A$7:$O$18,13,FALSE)</f>
        <v>180.20688815999995</v>
      </c>
      <c r="P8" s="117"/>
    </row>
    <row r="9" spans="1:27" s="16" customFormat="1" ht="11.25" x14ac:dyDescent="0.2">
      <c r="A9" s="17">
        <f>EOMONTH(A8,1)</f>
        <v>42185</v>
      </c>
      <c r="B9" s="18">
        <v>429.49</v>
      </c>
      <c r="C9" s="22"/>
      <c r="D9" s="150">
        <f>VLOOKUP(A9,'Value MF'!$A$6:$O$17,15,)</f>
        <v>98.995977599999918</v>
      </c>
      <c r="E9" s="14"/>
      <c r="F9" s="16">
        <f>ROUND(D9/B9,2)</f>
        <v>0.23</v>
      </c>
      <c r="G9" s="14"/>
      <c r="H9" s="14"/>
      <c r="I9" s="14"/>
      <c r="J9" s="14">
        <f>+B9</f>
        <v>429.49</v>
      </c>
      <c r="K9" s="13">
        <f>YEAR(A9)</f>
        <v>2015</v>
      </c>
      <c r="O9" s="118">
        <f>VLOOKUP(A9,'Value MF'!$A$7:$O$18,13,FALSE)</f>
        <v>197.96997759999991</v>
      </c>
      <c r="P9" s="117"/>
    </row>
    <row r="10" spans="1:27" s="16" customFormat="1" ht="11.25" x14ac:dyDescent="0.2">
      <c r="A10" s="17">
        <f>EOMONTH(A9,1)</f>
        <v>42216</v>
      </c>
      <c r="B10" s="18">
        <v>429.49</v>
      </c>
      <c r="C10" s="14"/>
      <c r="D10" s="150">
        <f>VLOOKUP(A10,'Value MF'!$A$6:$O$17,15,)</f>
        <v>90.644674759999916</v>
      </c>
      <c r="E10" s="14"/>
      <c r="F10" s="16">
        <f>ROUND(D10/B10,2)</f>
        <v>0.21</v>
      </c>
      <c r="G10" s="14"/>
      <c r="H10" s="14"/>
      <c r="I10" s="14"/>
      <c r="J10" s="14">
        <f>+B10</f>
        <v>429.49</v>
      </c>
      <c r="K10" s="13">
        <f>YEAR(A10)</f>
        <v>2015</v>
      </c>
      <c r="O10" s="118">
        <f>VLOOKUP(A10,'Value MF'!$A$7:$O$18,13,FALSE)</f>
        <v>181.26907475999991</v>
      </c>
      <c r="P10" s="117"/>
    </row>
    <row r="11" spans="1:27" s="16" customFormat="1" ht="11.25" x14ac:dyDescent="0.2">
      <c r="A11" s="17" t="s">
        <v>85</v>
      </c>
      <c r="B11" s="23">
        <f>SUM(B9:B10)</f>
        <v>858.98</v>
      </c>
      <c r="C11" s="22" t="s">
        <v>9</v>
      </c>
      <c r="D11" s="151">
        <f>SUM(D8:D10)</f>
        <v>279.74194051999979</v>
      </c>
      <c r="E11" s="14"/>
      <c r="G11" s="14"/>
      <c r="H11" s="14"/>
      <c r="I11" s="14"/>
      <c r="J11" s="14"/>
      <c r="K11" s="13"/>
      <c r="O11" s="118"/>
      <c r="P11" s="117"/>
    </row>
    <row r="12" spans="1:27" s="16" customFormat="1" ht="11.25" x14ac:dyDescent="0.2">
      <c r="A12" s="17"/>
      <c r="B12" s="14"/>
      <c r="C12" s="14"/>
      <c r="D12" s="73"/>
      <c r="E12" s="14"/>
      <c r="G12" s="14"/>
      <c r="H12" s="14"/>
      <c r="I12" s="14"/>
      <c r="J12" s="14"/>
      <c r="K12" s="13"/>
      <c r="O12" s="118"/>
      <c r="P12" s="117"/>
    </row>
    <row r="13" spans="1:27" s="16" customFormat="1" ht="11.25" x14ac:dyDescent="0.2">
      <c r="A13" s="17">
        <f>EOMONTH(A10,1)</f>
        <v>42247</v>
      </c>
      <c r="B13" s="18">
        <v>428.2</v>
      </c>
      <c r="C13" s="14"/>
      <c r="D13" s="150">
        <f>VLOOKUP(A13,'Value MF'!$A$6:$O$17,15,)</f>
        <v>114.06193985999991</v>
      </c>
      <c r="E13" s="14"/>
      <c r="F13" s="16">
        <f t="shared" ref="F13:F21" si="0">ROUND(D13/B13,2)</f>
        <v>0.27</v>
      </c>
      <c r="G13" s="24"/>
      <c r="H13" s="14"/>
      <c r="I13" s="14"/>
      <c r="J13" s="14">
        <f t="shared" ref="J13:J21" si="1">+B13</f>
        <v>428.2</v>
      </c>
      <c r="K13" s="13">
        <f t="shared" ref="K13:K21" si="2">YEAR(A13)</f>
        <v>2015</v>
      </c>
      <c r="O13" s="118">
        <f>VLOOKUP(A13,'Value MF'!$A$7:$O$18,13,FALSE)</f>
        <v>228.13633985999991</v>
      </c>
      <c r="P13" s="117"/>
    </row>
    <row r="14" spans="1:27" s="16" customFormat="1" ht="11.25" x14ac:dyDescent="0.2">
      <c r="A14" s="17">
        <f t="shared" ref="A14:A21" si="3">EOMONTH(A13,1)</f>
        <v>42277</v>
      </c>
      <c r="B14" s="18">
        <v>428.2</v>
      </c>
      <c r="C14" s="14"/>
      <c r="D14" s="150">
        <f>VLOOKUP(A14,'Value MF'!$A$6:$O$17,15,)</f>
        <v>94.342503779999902</v>
      </c>
      <c r="E14" s="14"/>
      <c r="F14" s="16">
        <f t="shared" si="0"/>
        <v>0.22</v>
      </c>
      <c r="G14" s="24"/>
      <c r="H14" s="14"/>
      <c r="I14" s="14"/>
      <c r="J14" s="14">
        <f t="shared" si="1"/>
        <v>428.2</v>
      </c>
      <c r="K14" s="13">
        <f t="shared" si="2"/>
        <v>2015</v>
      </c>
      <c r="O14" s="118">
        <f>VLOOKUP(A14,'Value MF'!$A$7:$O$18,13,FALSE)</f>
        <v>188.68710377999992</v>
      </c>
      <c r="P14" s="117"/>
    </row>
    <row r="15" spans="1:27" s="16" customFormat="1" ht="11.25" x14ac:dyDescent="0.2">
      <c r="A15" s="17">
        <f t="shared" si="3"/>
        <v>42308</v>
      </c>
      <c r="B15" s="18">
        <v>381.08</v>
      </c>
      <c r="C15" s="14"/>
      <c r="D15" s="150">
        <f>VLOOKUP(A15,'Value MF'!$A$6:$O$17,15,)</f>
        <v>97.74323943999994</v>
      </c>
      <c r="E15" s="14"/>
      <c r="F15" s="16">
        <f t="shared" si="0"/>
        <v>0.26</v>
      </c>
      <c r="G15" s="24"/>
      <c r="H15" s="14"/>
      <c r="I15" s="14"/>
      <c r="J15" s="14">
        <f t="shared" si="1"/>
        <v>381.08</v>
      </c>
      <c r="K15" s="13">
        <f t="shared" si="2"/>
        <v>2015</v>
      </c>
      <c r="O15" s="118">
        <f>VLOOKUP(A15,'Value MF'!$A$7:$O$18,13,FALSE)</f>
        <v>195.50243943999993</v>
      </c>
      <c r="P15" s="117"/>
    </row>
    <row r="16" spans="1:27" s="16" customFormat="1" ht="11.25" x14ac:dyDescent="0.2">
      <c r="A16" s="17">
        <f t="shared" si="3"/>
        <v>42338</v>
      </c>
      <c r="B16" s="18">
        <v>411.38</v>
      </c>
      <c r="C16" s="14"/>
      <c r="D16" s="150">
        <f>VLOOKUP(A16,'Value MF'!$A$6:$O$17,15,)</f>
        <v>126.31012343499988</v>
      </c>
      <c r="E16" s="14"/>
      <c r="F16" s="16">
        <f t="shared" si="0"/>
        <v>0.31</v>
      </c>
      <c r="G16" s="24"/>
      <c r="H16" s="14"/>
      <c r="I16" s="14"/>
      <c r="J16" s="14">
        <f t="shared" si="1"/>
        <v>411.38</v>
      </c>
      <c r="K16" s="13">
        <f t="shared" si="2"/>
        <v>2015</v>
      </c>
      <c r="O16" s="118">
        <f>VLOOKUP(A16,'Value MF'!$A$7:$O$18,13,FALSE)</f>
        <v>252.62352343499987</v>
      </c>
      <c r="P16" s="117"/>
    </row>
    <row r="17" spans="1:27" s="16" customFormat="1" ht="11.25" x14ac:dyDescent="0.2">
      <c r="A17" s="17">
        <f t="shared" si="3"/>
        <v>42369</v>
      </c>
      <c r="B17" s="18">
        <v>411.38</v>
      </c>
      <c r="C17" s="14"/>
      <c r="D17" s="150">
        <f>VLOOKUP(A17,'Value MF'!$A$6:$O$17,15,)</f>
        <v>114.12602859599991</v>
      </c>
      <c r="E17" s="14"/>
      <c r="F17" s="16">
        <f t="shared" si="0"/>
        <v>0.28000000000000003</v>
      </c>
      <c r="G17" s="24"/>
      <c r="H17" s="14"/>
      <c r="I17" s="14"/>
      <c r="J17" s="14">
        <f t="shared" si="1"/>
        <v>411.38</v>
      </c>
      <c r="K17" s="13">
        <f t="shared" si="2"/>
        <v>2015</v>
      </c>
      <c r="O17" s="118">
        <f>VLOOKUP(A17,'Value MF'!$A$7:$O$18,13,FALSE)</f>
        <v>228.28562859599992</v>
      </c>
      <c r="P17" s="117"/>
      <c r="X17" s="14"/>
      <c r="Y17" s="14"/>
    </row>
    <row r="18" spans="1:27" s="16" customFormat="1" ht="11.25" x14ac:dyDescent="0.2">
      <c r="A18" s="17">
        <f t="shared" si="3"/>
        <v>42400</v>
      </c>
      <c r="B18" s="18">
        <v>413.33</v>
      </c>
      <c r="C18" s="14"/>
      <c r="D18" s="150">
        <f>VLOOKUP(A18,'Value MF'!$A$6:$O$17,15,)</f>
        <v>127.86712294399992</v>
      </c>
      <c r="E18" s="14"/>
      <c r="F18" s="16">
        <f t="shared" si="0"/>
        <v>0.31</v>
      </c>
      <c r="G18" s="24"/>
      <c r="H18" s="14"/>
      <c r="I18" s="14"/>
      <c r="J18" s="14">
        <f t="shared" si="1"/>
        <v>413.33</v>
      </c>
      <c r="K18" s="13">
        <f t="shared" si="2"/>
        <v>2016</v>
      </c>
      <c r="L18" s="14"/>
      <c r="M18" s="14"/>
      <c r="N18" s="14"/>
      <c r="O18" s="118">
        <f>VLOOKUP(A18,'Value MF'!$A$7:$O$18,13,FALSE)</f>
        <v>255.72872294399991</v>
      </c>
      <c r="P18" s="117"/>
      <c r="Q18" s="14"/>
      <c r="R18" s="14"/>
      <c r="S18" s="14"/>
      <c r="T18" s="14"/>
      <c r="U18" s="14"/>
      <c r="V18" s="14"/>
      <c r="W18" s="14"/>
      <c r="Y18" s="14"/>
      <c r="AA18" s="14"/>
    </row>
    <row r="19" spans="1:27" s="16" customFormat="1" ht="11.25" x14ac:dyDescent="0.2">
      <c r="A19" s="17">
        <f t="shared" si="3"/>
        <v>42429</v>
      </c>
      <c r="B19" s="18">
        <v>413.33</v>
      </c>
      <c r="C19" s="14"/>
      <c r="D19" s="150">
        <f>VLOOKUP(A19,'Value MF'!$A$6:$O$17,15,)</f>
        <v>129.53966282999991</v>
      </c>
      <c r="E19" s="14"/>
      <c r="F19" s="16">
        <f t="shared" si="0"/>
        <v>0.31</v>
      </c>
      <c r="G19" s="24"/>
      <c r="H19" s="14"/>
      <c r="I19" s="14"/>
      <c r="J19" s="14">
        <f t="shared" si="1"/>
        <v>413.33</v>
      </c>
      <c r="K19" s="13">
        <f t="shared" si="2"/>
        <v>2016</v>
      </c>
      <c r="O19" s="118">
        <f>VLOOKUP(A19,'Value MF'!$A$7:$O$18,13,FALSE)</f>
        <v>259.07316282999989</v>
      </c>
      <c r="P19" s="117"/>
    </row>
    <row r="20" spans="1:27" s="16" customFormat="1" ht="11.25" x14ac:dyDescent="0.2">
      <c r="A20" s="17">
        <f t="shared" si="3"/>
        <v>42460</v>
      </c>
      <c r="B20" s="18">
        <v>413</v>
      </c>
      <c r="C20" s="14"/>
      <c r="D20" s="150">
        <f>VLOOKUP(A20,'Value MF'!$A$6:$O$17,15,)</f>
        <v>164.03965977599992</v>
      </c>
      <c r="E20" s="14"/>
      <c r="F20" s="16">
        <f t="shared" si="0"/>
        <v>0.4</v>
      </c>
      <c r="G20" s="24"/>
      <c r="H20" s="22"/>
      <c r="I20" s="14"/>
      <c r="J20" s="14">
        <f t="shared" si="1"/>
        <v>413</v>
      </c>
      <c r="K20" s="13">
        <f t="shared" si="2"/>
        <v>2016</v>
      </c>
      <c r="O20" s="118">
        <f>VLOOKUP(A20,'Value MF'!$A$7:$O$18,13,FALSE)</f>
        <v>328.0844597759999</v>
      </c>
      <c r="P20" s="34"/>
    </row>
    <row r="21" spans="1:27" s="16" customFormat="1" ht="11.25" x14ac:dyDescent="0.2">
      <c r="A21" s="17">
        <f t="shared" si="3"/>
        <v>42490</v>
      </c>
      <c r="B21" s="18">
        <v>411</v>
      </c>
      <c r="C21" s="14"/>
      <c r="D21" s="150">
        <v>92.76</v>
      </c>
      <c r="E21" s="14"/>
      <c r="F21" s="16">
        <f t="shared" si="0"/>
        <v>0.23</v>
      </c>
      <c r="G21" s="24"/>
      <c r="H21" s="22"/>
      <c r="I21" s="14"/>
      <c r="J21" s="14">
        <f t="shared" si="1"/>
        <v>411</v>
      </c>
      <c r="K21" s="13">
        <f t="shared" si="2"/>
        <v>2016</v>
      </c>
      <c r="O21" s="118">
        <f>VLOOKUP(A21,'Value MF'!$A$7:$O$18,13,FALSE)</f>
        <v>185.5274489999999</v>
      </c>
      <c r="P21" s="117"/>
    </row>
    <row r="22" spans="1:27" s="16" customFormat="1" ht="11.25" x14ac:dyDescent="0.2">
      <c r="A22" s="17"/>
      <c r="B22" s="14"/>
      <c r="C22" s="14"/>
      <c r="D22" s="73"/>
      <c r="E22" s="14"/>
      <c r="G22" s="14"/>
      <c r="H22" s="14"/>
      <c r="I22" s="14"/>
      <c r="J22" s="14"/>
      <c r="K22" s="13"/>
      <c r="O22" s="118"/>
      <c r="P22" s="117"/>
    </row>
    <row r="23" spans="1:27" s="16" customFormat="1" ht="11.25" x14ac:dyDescent="0.2">
      <c r="A23" s="17" t="s">
        <v>86</v>
      </c>
      <c r="B23" s="23">
        <f>SUM(B13:B22)</f>
        <v>3710.9</v>
      </c>
      <c r="C23" s="22" t="s">
        <v>10</v>
      </c>
      <c r="D23" s="151">
        <f>SUM(D11:D22)-D11</f>
        <v>1060.7902806609993</v>
      </c>
      <c r="E23" s="14"/>
      <c r="G23" s="14"/>
      <c r="H23" s="14"/>
      <c r="I23" s="14"/>
      <c r="J23" s="14"/>
      <c r="K23" s="13"/>
      <c r="O23" s="119"/>
    </row>
    <row r="24" spans="1:27" s="16" customFormat="1" x14ac:dyDescent="0.2">
      <c r="A24" s="5"/>
      <c r="B24" s="5"/>
      <c r="C24" s="5"/>
      <c r="D24" s="152"/>
      <c r="E24" s="5"/>
      <c r="F24" s="5"/>
      <c r="G24" s="5"/>
      <c r="H24" s="5"/>
      <c r="I24" s="5"/>
      <c r="J24" s="5"/>
      <c r="K24" s="5"/>
      <c r="O24" s="119"/>
      <c r="P24" s="120" t="s">
        <v>59</v>
      </c>
    </row>
    <row r="25" spans="1:27" s="16" customFormat="1" ht="13.5" thickBot="1" x14ac:dyDescent="0.25">
      <c r="A25" s="26"/>
      <c r="B25" s="27">
        <f>+B11+B23</f>
        <v>4569.88</v>
      </c>
      <c r="C25" s="22"/>
      <c r="D25" s="153">
        <f>+D11+D23</f>
        <v>1340.5322211809992</v>
      </c>
      <c r="E25" s="22" t="s">
        <v>11</v>
      </c>
      <c r="F25" s="24">
        <f>ROUND(D25/B25,3)</f>
        <v>0.29299999999999998</v>
      </c>
      <c r="G25" s="22" t="s">
        <v>12</v>
      </c>
      <c r="H25" s="14"/>
      <c r="I25" s="14"/>
      <c r="J25" s="27">
        <f>SUM(J8:J24)</f>
        <v>4999.37</v>
      </c>
      <c r="K25" s="22" t="s">
        <v>13</v>
      </c>
      <c r="O25" s="119">
        <f>SUM(O8:O24)</f>
        <v>2681.0947701809987</v>
      </c>
      <c r="P25" s="121"/>
    </row>
    <row r="26" spans="1:27" s="16" customFormat="1" ht="12" thickTop="1" x14ac:dyDescent="0.2">
      <c r="B26" s="14"/>
      <c r="C26" s="22"/>
      <c r="D26" s="14"/>
      <c r="E26" s="14"/>
      <c r="F26" s="14"/>
      <c r="G26" s="14"/>
      <c r="H26" s="14"/>
      <c r="I26" s="14"/>
      <c r="J26" s="14"/>
      <c r="K26" s="14"/>
      <c r="O26" s="122">
        <f>ROUND(O25/J25,3)</f>
        <v>0.53600000000000003</v>
      </c>
      <c r="P26" s="117" t="s">
        <v>60</v>
      </c>
    </row>
    <row r="27" spans="1:27" s="16" customFormat="1" ht="11.25" x14ac:dyDescent="0.2">
      <c r="B27" s="14"/>
      <c r="C27" s="14"/>
      <c r="D27" s="14"/>
      <c r="E27" s="14"/>
      <c r="F27" s="14"/>
      <c r="G27" s="14"/>
      <c r="H27" s="14"/>
      <c r="I27" s="14"/>
      <c r="J27" s="14"/>
      <c r="K27" s="14"/>
      <c r="O27" s="123">
        <f>+J21</f>
        <v>411</v>
      </c>
      <c r="P27" s="117" t="s">
        <v>61</v>
      </c>
    </row>
    <row r="28" spans="1:27" s="16" customFormat="1" ht="12" thickBot="1" x14ac:dyDescent="0.25">
      <c r="B28" s="28" t="s">
        <v>14</v>
      </c>
      <c r="C28" s="29"/>
      <c r="D28" s="29"/>
      <c r="E28" s="29"/>
      <c r="F28" s="14"/>
      <c r="G28" s="14"/>
      <c r="H28" s="14"/>
      <c r="I28" s="14"/>
      <c r="J28" s="14"/>
      <c r="K28" s="14"/>
      <c r="O28" s="117"/>
      <c r="P28" s="117" t="s">
        <v>62</v>
      </c>
    </row>
    <row r="29" spans="1:27" s="16" customFormat="1" ht="12" thickTop="1" x14ac:dyDescent="0.2">
      <c r="A29" s="6"/>
      <c r="B29" s="30"/>
      <c r="C29" s="14"/>
      <c r="D29" s="14"/>
      <c r="E29" s="14"/>
      <c r="F29" s="14"/>
      <c r="G29" s="14"/>
      <c r="H29" s="14"/>
      <c r="I29" s="14"/>
      <c r="J29" s="14"/>
      <c r="K29" s="14"/>
      <c r="X29" s="14"/>
      <c r="Y29" s="14"/>
    </row>
    <row r="30" spans="1:27" s="16" customFormat="1" ht="11.25" x14ac:dyDescent="0.2">
      <c r="A30" s="8"/>
      <c r="B30" s="30"/>
      <c r="C30" s="14"/>
      <c r="D30" s="14"/>
      <c r="E30" s="14"/>
      <c r="F30" s="31" t="s">
        <v>15</v>
      </c>
      <c r="G30" s="14">
        <f>+D25</f>
        <v>1340.5322211809992</v>
      </c>
      <c r="H30" s="22" t="s">
        <v>11</v>
      </c>
      <c r="I30" s="14"/>
      <c r="J30" s="14"/>
      <c r="K30" s="14"/>
    </row>
    <row r="31" spans="1:27" s="13" customFormat="1" ht="11.25" x14ac:dyDescent="0.2">
      <c r="A31" s="32"/>
      <c r="B31" s="30"/>
      <c r="C31" s="14"/>
      <c r="D31" s="14"/>
      <c r="E31" s="14"/>
      <c r="F31" s="14"/>
      <c r="G31" s="14"/>
      <c r="H31" s="22"/>
      <c r="I31" s="14"/>
      <c r="J31" s="14"/>
      <c r="K31" s="14"/>
      <c r="O31" s="16"/>
      <c r="P31" s="16"/>
      <c r="W31" s="14"/>
      <c r="X31" s="16"/>
      <c r="Y31" s="16"/>
      <c r="AA31" s="14"/>
    </row>
    <row r="32" spans="1:27" s="16" customFormat="1" ht="11.25" x14ac:dyDescent="0.2">
      <c r="B32" s="14" t="s">
        <v>87</v>
      </c>
      <c r="C32" s="14"/>
      <c r="D32" s="14"/>
      <c r="E32" s="14"/>
      <c r="F32" s="33">
        <v>0.45</v>
      </c>
      <c r="G32" s="14"/>
      <c r="H32" s="14"/>
      <c r="I32" s="14"/>
      <c r="J32" s="14"/>
      <c r="K32" s="14"/>
      <c r="O32" s="16">
        <f>'Value MF'!M20</f>
        <v>2681.0947701809991</v>
      </c>
      <c r="P32" s="13" t="s">
        <v>63</v>
      </c>
    </row>
    <row r="33" spans="2:27" s="16" customFormat="1" ht="11.25" x14ac:dyDescent="0.2">
      <c r="B33" s="14"/>
      <c r="C33" s="14" t="str">
        <f>"Customers from "&amp;TEXT($A$8,"mm/yy")&amp;" - "&amp;TEXT($A$10,"mm/yy")</f>
        <v>Customers from 05/15 - 07/15</v>
      </c>
      <c r="D33" s="14"/>
      <c r="E33" s="14"/>
      <c r="F33" s="14">
        <f>SUM(B9:B10)</f>
        <v>858.98</v>
      </c>
      <c r="G33" s="22" t="s">
        <v>9</v>
      </c>
      <c r="H33" s="14"/>
      <c r="I33" s="14"/>
      <c r="J33" s="14"/>
      <c r="K33" s="14"/>
      <c r="O33" s="16">
        <f>'Value MF'!O20</f>
        <v>1340.5370701809991</v>
      </c>
      <c r="P33" s="16" t="s">
        <v>64</v>
      </c>
    </row>
    <row r="34" spans="2:27" s="16" customFormat="1" ht="11.25" x14ac:dyDescent="0.2">
      <c r="B34" s="14"/>
      <c r="C34" s="14" t="s">
        <v>17</v>
      </c>
      <c r="D34" s="14"/>
      <c r="E34" s="14"/>
      <c r="F34" s="23">
        <f>F32*F33</f>
        <v>386.541</v>
      </c>
      <c r="G34" s="22"/>
      <c r="H34" s="14"/>
      <c r="I34" s="14"/>
      <c r="J34" s="14"/>
      <c r="K34" s="14"/>
      <c r="O34" s="124">
        <f>+O33/O32</f>
        <v>0.49999615272476927</v>
      </c>
    </row>
    <row r="35" spans="2:27" s="16" customFormat="1" ht="11.25" x14ac:dyDescent="0.2">
      <c r="B35" s="14"/>
      <c r="C35" s="14"/>
      <c r="D35" s="14"/>
      <c r="E35" s="14"/>
      <c r="F35" s="34"/>
      <c r="G35" s="22"/>
      <c r="H35" s="14"/>
      <c r="I35" s="14"/>
      <c r="J35" s="14"/>
      <c r="K35" s="14"/>
    </row>
    <row r="36" spans="2:27" s="16" customFormat="1" ht="11.25" x14ac:dyDescent="0.2">
      <c r="B36" s="14" t="s">
        <v>87</v>
      </c>
      <c r="C36" s="14"/>
      <c r="D36" s="14"/>
      <c r="E36" s="14"/>
      <c r="F36" s="33">
        <v>0.44</v>
      </c>
      <c r="G36" s="14"/>
      <c r="H36" s="14"/>
      <c r="I36" s="14"/>
      <c r="J36" s="14"/>
      <c r="K36" s="14"/>
    </row>
    <row r="37" spans="2:27" s="16" customFormat="1" ht="11.25" x14ac:dyDescent="0.2">
      <c r="B37" s="14"/>
      <c r="C37" s="14" t="str">
        <f>"Customers from "&amp;TEXT($A$13,"mm/yy")&amp;" - "&amp;TEXT($A$21,"mm/yy")</f>
        <v>Customers from 08/15 - 04/16</v>
      </c>
      <c r="D37" s="14"/>
      <c r="E37" s="14"/>
      <c r="F37" s="14">
        <f>+B25-F33</f>
        <v>3710.9</v>
      </c>
      <c r="G37" s="22" t="s">
        <v>10</v>
      </c>
      <c r="H37" s="14"/>
      <c r="I37" s="14"/>
      <c r="J37" s="14"/>
      <c r="K37" s="14"/>
    </row>
    <row r="38" spans="2:27" s="16" customFormat="1" ht="11.25" x14ac:dyDescent="0.2">
      <c r="B38" s="14"/>
      <c r="C38" s="14" t="s">
        <v>17</v>
      </c>
      <c r="D38" s="14"/>
      <c r="E38" s="14"/>
      <c r="F38" s="23">
        <f>F36*F37</f>
        <v>1632.796</v>
      </c>
      <c r="G38" s="22"/>
      <c r="H38" s="14"/>
      <c r="I38" s="14"/>
      <c r="J38" s="14"/>
      <c r="K38" s="14"/>
    </row>
    <row r="39" spans="2:27" s="16" customFormat="1" ht="11.25" x14ac:dyDescent="0.2">
      <c r="B39" s="14"/>
      <c r="C39" s="14"/>
      <c r="D39" s="14"/>
      <c r="E39" s="14"/>
      <c r="F39" s="35"/>
      <c r="G39" s="22"/>
      <c r="H39" s="14"/>
      <c r="I39" s="14"/>
      <c r="J39" s="14"/>
      <c r="K39" s="14"/>
    </row>
    <row r="40" spans="2:27" s="16" customFormat="1" ht="12" thickBot="1" x14ac:dyDescent="0.25">
      <c r="B40" s="14"/>
      <c r="C40" s="14" t="s">
        <v>18</v>
      </c>
      <c r="D40" s="14"/>
      <c r="E40" s="14"/>
      <c r="F40" s="27">
        <f>+F34+F38</f>
        <v>2019.337</v>
      </c>
      <c r="G40" s="36">
        <f>+F40</f>
        <v>2019.337</v>
      </c>
      <c r="H40" s="14"/>
      <c r="I40" s="14"/>
      <c r="J40" s="14"/>
      <c r="K40" s="14"/>
    </row>
    <row r="41" spans="2:27" s="16" customFormat="1" ht="12" thickTop="1" x14ac:dyDescent="0.2">
      <c r="B41" s="14"/>
      <c r="C41" s="14"/>
      <c r="D41" s="14"/>
      <c r="E41" s="14"/>
      <c r="F41" s="14"/>
      <c r="G41" s="14"/>
      <c r="H41" s="14"/>
      <c r="I41" s="14"/>
      <c r="J41" s="14"/>
      <c r="K41" s="14"/>
    </row>
    <row r="42" spans="2:27" s="16" customFormat="1" ht="11.25" x14ac:dyDescent="0.2">
      <c r="B42" s="14"/>
      <c r="C42" s="14"/>
      <c r="D42" s="14"/>
      <c r="E42" s="14"/>
      <c r="F42" s="14"/>
      <c r="G42" s="14"/>
      <c r="H42" s="14"/>
      <c r="I42" s="14"/>
      <c r="J42" s="14"/>
      <c r="K42" s="14"/>
    </row>
    <row r="43" spans="2:27" s="16" customFormat="1" ht="12" thickBot="1" x14ac:dyDescent="0.25">
      <c r="B43" s="14"/>
      <c r="C43" s="14"/>
      <c r="D43" s="14"/>
      <c r="E43" s="14"/>
      <c r="F43" s="31" t="str">
        <f>IF(G43&lt;=0,"Excess","Deficient")&amp;" Commodity Credits"</f>
        <v>Excess Commodity Credits</v>
      </c>
      <c r="G43" s="37">
        <f>+G30-G40</f>
        <v>-678.80477881900083</v>
      </c>
      <c r="H43" s="14"/>
      <c r="I43" s="14"/>
      <c r="J43" s="14"/>
      <c r="K43" s="14"/>
    </row>
    <row r="44" spans="2:27" s="16" customFormat="1" ht="12" thickTop="1" x14ac:dyDescent="0.2">
      <c r="B44" s="14"/>
      <c r="C44" s="14"/>
      <c r="D44" s="14"/>
      <c r="E44" s="14"/>
      <c r="F44" s="14"/>
      <c r="G44" s="14"/>
      <c r="H44" s="14"/>
      <c r="I44" s="14"/>
      <c r="J44" s="14"/>
      <c r="K44" s="14"/>
      <c r="Y44" s="14"/>
    </row>
    <row r="45" spans="2:27" s="16" customFormat="1" ht="11.25" x14ac:dyDescent="0.2">
      <c r="B45" s="14"/>
      <c r="C45" s="14"/>
      <c r="D45" s="14"/>
      <c r="E45" s="14"/>
      <c r="F45" s="14"/>
      <c r="G45" s="14"/>
      <c r="H45" s="14"/>
      <c r="I45" s="14"/>
      <c r="J45" s="14"/>
      <c r="K45" s="14"/>
    </row>
    <row r="46" spans="2:27" s="16" customFormat="1" ht="12" thickBot="1" x14ac:dyDescent="0.25">
      <c r="B46" s="28" t="str">
        <f>$K$21+1&amp;" Recycle Adjustment Calculation"</f>
        <v>2017 Recycle Adjustment Calculation</v>
      </c>
      <c r="C46" s="29"/>
      <c r="D46" s="29"/>
      <c r="E46" s="29"/>
      <c r="F46" s="29"/>
      <c r="G46" s="14"/>
      <c r="H46" s="14"/>
      <c r="I46" s="14"/>
      <c r="J46" s="14"/>
      <c r="K46" s="14"/>
    </row>
    <row r="47" spans="2:27" s="16" customFormat="1" ht="12" thickTop="1" x14ac:dyDescent="0.2">
      <c r="B47" s="30"/>
      <c r="C47" s="14"/>
      <c r="D47" s="14"/>
      <c r="E47" s="14"/>
      <c r="F47" s="14"/>
      <c r="G47" s="14"/>
      <c r="H47" s="14"/>
      <c r="I47" s="14"/>
      <c r="J47" s="14"/>
      <c r="K47" s="14"/>
      <c r="L47" s="14"/>
      <c r="M47" s="14"/>
      <c r="N47" s="14"/>
      <c r="O47" s="14"/>
      <c r="P47" s="14"/>
      <c r="Q47" s="14"/>
      <c r="R47" s="14"/>
      <c r="S47" s="14"/>
      <c r="T47" s="14"/>
      <c r="U47" s="14"/>
      <c r="V47" s="14"/>
      <c r="W47" s="14"/>
      <c r="AA47" s="14"/>
    </row>
    <row r="48" spans="2:27" s="16" customFormat="1" ht="11.25" x14ac:dyDescent="0.2">
      <c r="B48" s="14" t="str">
        <f>$K$10&amp;"/"&amp;$K$21&amp;" True-up Computation"</f>
        <v>2015/2016 True-up Computation</v>
      </c>
      <c r="C48" s="14"/>
      <c r="D48" s="14"/>
      <c r="E48" s="14"/>
      <c r="F48" s="14"/>
      <c r="G48" s="14"/>
      <c r="H48" s="14"/>
      <c r="I48" s="14"/>
      <c r="J48" s="14"/>
      <c r="K48" s="14"/>
    </row>
    <row r="49" spans="1:25" s="16" customFormat="1" ht="11.25" x14ac:dyDescent="0.2">
      <c r="B49" s="14"/>
      <c r="C49" s="14"/>
      <c r="D49" s="14"/>
      <c r="E49" s="14"/>
      <c r="F49" s="31" t="s">
        <v>88</v>
      </c>
      <c r="G49" s="14">
        <f>+J25</f>
        <v>4999.37</v>
      </c>
      <c r="H49" s="22" t="s">
        <v>13</v>
      </c>
      <c r="I49" s="14"/>
      <c r="J49" s="14"/>
      <c r="K49" s="14"/>
    </row>
    <row r="50" spans="1:25" s="16" customFormat="1" ht="11.25" x14ac:dyDescent="0.2">
      <c r="B50" s="14"/>
      <c r="C50" s="14"/>
      <c r="D50" s="14"/>
      <c r="E50" s="14"/>
      <c r="F50" s="31" t="str">
        <f>F43</f>
        <v>Excess Commodity Credits</v>
      </c>
      <c r="G50" s="14">
        <f>+G43</f>
        <v>-678.80477881900083</v>
      </c>
      <c r="H50" s="14"/>
      <c r="I50" s="14"/>
      <c r="J50" s="14"/>
      <c r="K50" s="14"/>
    </row>
    <row r="51" spans="1:25" s="16" customFormat="1" ht="11.25" x14ac:dyDescent="0.2">
      <c r="B51" s="14"/>
      <c r="C51" s="14"/>
      <c r="D51" s="14"/>
      <c r="E51" s="14"/>
      <c r="F51" s="31"/>
      <c r="G51" s="14"/>
      <c r="H51" s="14"/>
      <c r="I51" s="14"/>
      <c r="J51" s="14"/>
      <c r="K51" s="14"/>
    </row>
    <row r="52" spans="1:25" s="16" customFormat="1" ht="12" thickBot="1" x14ac:dyDescent="0.25">
      <c r="B52" s="14"/>
      <c r="C52" s="14"/>
      <c r="D52" s="14"/>
      <c r="E52" s="14"/>
      <c r="F52" s="31" t="str">
        <f>$K$10&amp;"/"&amp;$K$21&amp;" Monthly True-up Charge"</f>
        <v>2015/2016 Monthly True-up Charge</v>
      </c>
      <c r="G52" s="38">
        <f>ROUND(G50/G49,2)</f>
        <v>-0.14000000000000001</v>
      </c>
      <c r="H52" s="14"/>
      <c r="I52" s="24">
        <f>+G52</f>
        <v>-0.14000000000000001</v>
      </c>
      <c r="J52" s="14"/>
      <c r="K52" s="14"/>
    </row>
    <row r="53" spans="1:25" s="16" customFormat="1" ht="12" thickTop="1" x14ac:dyDescent="0.2">
      <c r="B53" s="14"/>
      <c r="C53" s="14"/>
      <c r="D53" s="14"/>
      <c r="E53" s="14"/>
      <c r="F53" s="31"/>
      <c r="G53" s="14"/>
      <c r="H53" s="14"/>
      <c r="I53" s="24"/>
      <c r="J53" s="14"/>
      <c r="K53" s="14"/>
      <c r="O53" s="125" t="s">
        <v>67</v>
      </c>
      <c r="Y53" s="14"/>
    </row>
    <row r="54" spans="1:25" s="16" customFormat="1" ht="11.25" x14ac:dyDescent="0.2">
      <c r="B54" s="14" t="str">
        <f>$K$21&amp;"/"&amp;$K$21+1&amp;" Projected Credit at 50% Retention"</f>
        <v>2016/2017 Projected Credit at 50% Retention</v>
      </c>
      <c r="C54" s="14"/>
      <c r="D54" s="14"/>
      <c r="E54" s="14"/>
      <c r="F54" s="31"/>
      <c r="G54" s="14"/>
      <c r="H54" s="14"/>
      <c r="I54" s="24"/>
      <c r="J54" s="14"/>
      <c r="K54" s="14"/>
      <c r="O54" s="126">
        <f>+'[11]WUTC_AW of Kent_MF'!$O$56</f>
        <v>0.5</v>
      </c>
    </row>
    <row r="55" spans="1:25" s="16" customFormat="1" ht="12" thickBot="1" x14ac:dyDescent="0.25">
      <c r="B55" s="30"/>
      <c r="C55" s="14"/>
      <c r="D55" s="14"/>
      <c r="E55" s="14"/>
      <c r="F55" s="31" t="s">
        <v>54</v>
      </c>
      <c r="G55" s="127">
        <f>+F25/'Value MF'!$P$20*$O$54</f>
        <v>0.29300225452063272</v>
      </c>
      <c r="H55" s="14"/>
      <c r="I55" s="16">
        <f>+G55</f>
        <v>0.29300225452063272</v>
      </c>
      <c r="J55" s="22" t="s">
        <v>12</v>
      </c>
      <c r="K55" s="14"/>
    </row>
    <row r="56" spans="1:25" s="14" customFormat="1" ht="12" thickTop="1" x14ac:dyDescent="0.2">
      <c r="B56" s="30"/>
      <c r="I56" s="24"/>
      <c r="X56" s="16"/>
      <c r="Y56" s="16"/>
    </row>
    <row r="57" spans="1:25" s="16" customFormat="1" ht="12" thickBot="1" x14ac:dyDescent="0.25">
      <c r="B57" s="14"/>
      <c r="C57" s="14"/>
      <c r="D57" s="14"/>
      <c r="E57" s="14"/>
      <c r="F57" s="14"/>
      <c r="G57" s="31" t="str">
        <f>$K$21+1&amp;" Adjusted Credit"</f>
        <v>2017 Adjusted Credit</v>
      </c>
      <c r="H57" s="27"/>
      <c r="I57" s="351">
        <f>+I52+I55</f>
        <v>0.15300225452063271</v>
      </c>
      <c r="J57" s="14"/>
    </row>
    <row r="58" spans="1:25" s="16" customFormat="1" ht="12" thickTop="1" x14ac:dyDescent="0.2">
      <c r="I58" s="24"/>
    </row>
    <row r="59" spans="1:25" s="16" customFormat="1" ht="11.25" x14ac:dyDescent="0.2">
      <c r="G59" s="109" t="s">
        <v>89</v>
      </c>
      <c r="I59" s="16">
        <f>+I57*3.5</f>
        <v>0.53550789082221451</v>
      </c>
    </row>
    <row r="60" spans="1:25" s="16" customFormat="1" ht="11.25" x14ac:dyDescent="0.2">
      <c r="A60" s="117"/>
      <c r="B60" s="117"/>
      <c r="C60" s="117"/>
      <c r="D60" s="117"/>
      <c r="E60" s="117"/>
      <c r="F60" s="117"/>
      <c r="G60" s="109"/>
    </row>
    <row r="61" spans="1:25" s="16" customFormat="1" ht="11.25" x14ac:dyDescent="0.2">
      <c r="A61" s="156"/>
      <c r="B61" s="157"/>
      <c r="C61" s="158"/>
      <c r="D61" s="158"/>
      <c r="E61" s="158"/>
      <c r="F61" s="159"/>
      <c r="G61" s="109"/>
    </row>
    <row r="62" spans="1:25" s="16" customFormat="1" ht="11.25" x14ac:dyDescent="0.2">
      <c r="A62" s="120"/>
      <c r="B62" s="159"/>
      <c r="C62" s="159"/>
      <c r="D62" s="159"/>
      <c r="E62" s="159"/>
      <c r="F62" s="159"/>
      <c r="G62" s="160"/>
      <c r="H62" s="160"/>
      <c r="I62" s="160"/>
      <c r="J62" s="160"/>
      <c r="K62" s="160"/>
      <c r="Y62" s="14"/>
    </row>
    <row r="63" spans="1:25" s="16" customFormat="1" ht="11.25" x14ac:dyDescent="0.2">
      <c r="A63" s="120"/>
      <c r="B63" s="159"/>
      <c r="C63" s="159"/>
      <c r="D63" s="159"/>
      <c r="E63" s="159"/>
      <c r="F63" s="159"/>
      <c r="G63" s="109" t="s">
        <v>90</v>
      </c>
      <c r="I63" s="350">
        <v>1703.16</v>
      </c>
    </row>
    <row r="64" spans="1:25" s="16" customFormat="1" ht="11.25" x14ac:dyDescent="0.2">
      <c r="A64" s="162"/>
      <c r="B64" s="34"/>
      <c r="C64" s="34"/>
      <c r="D64" s="117"/>
      <c r="E64" s="34"/>
      <c r="F64" s="117"/>
      <c r="G64" s="14"/>
      <c r="H64" s="14"/>
      <c r="I64" s="14"/>
    </row>
    <row r="65" spans="1:27" s="16" customFormat="1" ht="11.25" x14ac:dyDescent="0.2">
      <c r="A65" s="162"/>
      <c r="B65" s="163"/>
      <c r="C65" s="34"/>
      <c r="D65" s="117"/>
      <c r="E65" s="34"/>
      <c r="F65" s="117"/>
      <c r="G65" s="109" t="s">
        <v>92</v>
      </c>
      <c r="I65" s="302">
        <f>I63/(B25)</f>
        <v>0.37269249958423417</v>
      </c>
    </row>
    <row r="66" spans="1:27" s="16" customFormat="1" ht="11.25" x14ac:dyDescent="0.2">
      <c r="A66" s="162"/>
      <c r="B66" s="163"/>
      <c r="C66" s="34"/>
      <c r="D66" s="117"/>
      <c r="E66" s="34"/>
      <c r="F66" s="117"/>
    </row>
    <row r="67" spans="1:27" s="16" customFormat="1" ht="12" thickBot="1" x14ac:dyDescent="0.25">
      <c r="A67" s="162"/>
      <c r="B67" s="163"/>
      <c r="C67" s="34"/>
      <c r="D67" s="117"/>
      <c r="E67" s="34"/>
      <c r="F67" s="117"/>
      <c r="G67" s="31" t="str">
        <f>$K$21+1&amp;" Net Credit/(Debit)"</f>
        <v>2017 Net Credit/(Debit)</v>
      </c>
      <c r="H67" s="27"/>
      <c r="I67" s="301">
        <f>+I57+I65</f>
        <v>0.52569475410486688</v>
      </c>
      <c r="Y67" s="14"/>
    </row>
    <row r="68" spans="1:27" s="16" customFormat="1" ht="12" thickTop="1" x14ac:dyDescent="0.2">
      <c r="A68" s="162"/>
      <c r="B68" s="163"/>
      <c r="C68" s="34"/>
      <c r="D68" s="117"/>
      <c r="E68" s="34"/>
      <c r="F68" s="117"/>
    </row>
    <row r="69" spans="1:27" s="16" customFormat="1" ht="11.25" x14ac:dyDescent="0.2">
      <c r="A69" s="162"/>
      <c r="B69" s="163"/>
      <c r="C69" s="34"/>
      <c r="D69" s="117"/>
      <c r="E69" s="34"/>
      <c r="F69" s="117"/>
      <c r="G69" s="109" t="s">
        <v>93</v>
      </c>
      <c r="I69" s="164">
        <f>+I67*3.5</f>
        <v>1.839931639367034</v>
      </c>
    </row>
    <row r="70" spans="1:27" s="16" customFormat="1" ht="11.25" x14ac:dyDescent="0.2">
      <c r="A70" s="162"/>
      <c r="B70" s="163"/>
      <c r="C70" s="34"/>
      <c r="D70" s="117"/>
      <c r="E70" s="34"/>
      <c r="F70" s="117"/>
      <c r="G70" s="109" t="s">
        <v>94</v>
      </c>
      <c r="I70" s="16">
        <f>I67*5</f>
        <v>2.6284737705243346</v>
      </c>
    </row>
    <row r="71" spans="1:27" s="16" customFormat="1" ht="11.25" x14ac:dyDescent="0.2">
      <c r="A71" s="162"/>
      <c r="B71" s="163"/>
      <c r="C71" s="34"/>
      <c r="D71" s="117"/>
      <c r="E71" s="34"/>
      <c r="F71" s="117"/>
      <c r="J71" s="14"/>
      <c r="K71" s="13"/>
      <c r="L71" s="14"/>
      <c r="M71" s="14"/>
      <c r="N71" s="14"/>
      <c r="O71" s="14"/>
      <c r="P71" s="14"/>
      <c r="Q71" s="14"/>
      <c r="R71" s="14"/>
      <c r="S71" s="14"/>
      <c r="T71" s="14"/>
      <c r="U71" s="14"/>
      <c r="V71" s="13"/>
      <c r="W71" s="14"/>
      <c r="AA71" s="14"/>
    </row>
    <row r="72" spans="1:27" s="16" customFormat="1" ht="11.25" x14ac:dyDescent="0.2">
      <c r="A72" s="162"/>
      <c r="B72" s="163"/>
      <c r="C72" s="34"/>
      <c r="D72" s="117"/>
      <c r="E72" s="34"/>
      <c r="F72" s="117"/>
    </row>
    <row r="73" spans="1:27" s="16" customFormat="1" ht="11.25" x14ac:dyDescent="0.2">
      <c r="A73" s="162"/>
      <c r="B73" s="163"/>
      <c r="C73" s="34"/>
      <c r="D73" s="117"/>
      <c r="E73" s="34"/>
      <c r="F73" s="117"/>
    </row>
    <row r="74" spans="1:27" s="16" customFormat="1" ht="11.25" x14ac:dyDescent="0.2">
      <c r="A74" s="162"/>
      <c r="B74" s="34"/>
      <c r="C74" s="34"/>
      <c r="D74" s="117"/>
      <c r="E74" s="34"/>
      <c r="F74" s="117"/>
    </row>
    <row r="75" spans="1:27" s="16" customFormat="1" ht="11.25" x14ac:dyDescent="0.2">
      <c r="A75" s="162"/>
      <c r="B75" s="34"/>
      <c r="C75" s="165"/>
      <c r="D75" s="117"/>
      <c r="E75" s="34"/>
      <c r="F75" s="117"/>
    </row>
    <row r="76" spans="1:27" s="16" customFormat="1" x14ac:dyDescent="0.2">
      <c r="A76" s="121"/>
      <c r="B76" s="121"/>
      <c r="C76" s="121"/>
      <c r="D76" s="166"/>
      <c r="E76" s="121"/>
      <c r="F76" s="121"/>
      <c r="Y76" s="14"/>
    </row>
    <row r="77" spans="1:27" s="16" customFormat="1" ht="11.25" x14ac:dyDescent="0.2">
      <c r="A77" s="167"/>
      <c r="B77" s="34"/>
      <c r="C77" s="165"/>
      <c r="D77" s="117"/>
      <c r="E77" s="165"/>
      <c r="F77" s="168"/>
    </row>
    <row r="78" spans="1:27" s="16" customFormat="1" ht="11.25" x14ac:dyDescent="0.2"/>
    <row r="79" spans="1:27" s="16" customFormat="1" ht="11.25" x14ac:dyDescent="0.2"/>
    <row r="80" spans="1:27" s="16" customFormat="1" ht="11.25" x14ac:dyDescent="0.2">
      <c r="B80" s="8"/>
    </row>
    <row r="81" spans="1:27" s="14" customFormat="1" ht="11.25" x14ac:dyDescent="0.2">
      <c r="B81" s="30"/>
      <c r="X81" s="16"/>
      <c r="Y81" s="16"/>
    </row>
    <row r="82" spans="1:27" s="16" customFormat="1" ht="11.25" x14ac:dyDescent="0.2"/>
    <row r="83" spans="1:27" s="16" customFormat="1" ht="11.25" x14ac:dyDescent="0.2"/>
    <row r="84" spans="1:27" s="16" customFormat="1" ht="11.25" x14ac:dyDescent="0.2"/>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c r="A90" s="6"/>
    </row>
    <row r="91" spans="1:27" s="16" customFormat="1" x14ac:dyDescent="0.2">
      <c r="AA91" s="5"/>
    </row>
    <row r="92" spans="1:27" s="16" customFormat="1" x14ac:dyDescent="0.2">
      <c r="AA92" s="5"/>
    </row>
    <row r="93" spans="1:27" s="16" customFormat="1" x14ac:dyDescent="0.2">
      <c r="AA93" s="5"/>
    </row>
    <row r="94" spans="1:27" s="16" customFormat="1" x14ac:dyDescent="0.2">
      <c r="AA94" s="5"/>
    </row>
    <row r="95" spans="1:27" s="16" customFormat="1" x14ac:dyDescent="0.2">
      <c r="G95" s="49"/>
      <c r="I95" s="49"/>
      <c r="J95" s="49"/>
      <c r="L95" s="49"/>
      <c r="M95" s="49"/>
      <c r="N95" s="49"/>
      <c r="O95" s="49"/>
      <c r="P95" s="49"/>
      <c r="Q95" s="49"/>
      <c r="R95" s="49"/>
      <c r="S95" s="49"/>
      <c r="T95" s="49"/>
      <c r="U95" s="49"/>
      <c r="V95" s="49"/>
      <c r="W95" s="49"/>
      <c r="X95" s="49"/>
      <c r="Y95" s="49"/>
      <c r="AA95" s="5"/>
    </row>
    <row r="96" spans="1:27" s="16" customFormat="1" x14ac:dyDescent="0.2">
      <c r="AA96" s="5"/>
    </row>
    <row r="97" spans="7:27" s="16" customFormat="1" ht="13.5" thickBot="1" x14ac:dyDescent="0.25">
      <c r="G97" s="50"/>
      <c r="I97" s="50"/>
      <c r="J97" s="50"/>
      <c r="L97" s="50"/>
      <c r="M97" s="50"/>
      <c r="N97" s="50"/>
      <c r="O97" s="50"/>
      <c r="P97" s="50"/>
      <c r="Q97" s="50"/>
      <c r="R97" s="50"/>
      <c r="S97" s="50"/>
      <c r="T97" s="50"/>
      <c r="U97" s="50"/>
      <c r="V97" s="50"/>
      <c r="W97" s="50"/>
      <c r="X97" s="50"/>
      <c r="Y97" s="50"/>
      <c r="AA97" s="5"/>
    </row>
    <row r="98" spans="7:27" ht="13.5" thickTop="1" x14ac:dyDescent="0.2"/>
    <row r="99" spans="7:27" x14ac:dyDescent="0.2">
      <c r="W99" s="51"/>
      <c r="X99" s="51"/>
      <c r="Y99" s="51"/>
    </row>
    <row r="100" spans="7:27" x14ac:dyDescent="0.2">
      <c r="W100" s="51"/>
      <c r="AA100" s="51"/>
    </row>
  </sheetData>
  <printOptions horizontalCentered="1"/>
  <pageMargins left="0" right="0" top="0.26" bottom="0.33" header="0" footer="0"/>
  <pageSetup scale="58" orientation="portrait" horizontalDpi="4294967292" verticalDpi="300" r:id="rId1"/>
  <headerFooter alignWithMargins="0">
    <oddFooter>&amp;R&amp;"Helv,Regular"&amp;6\\SERVER1\DPUBLIC\EXCEL\WUTC\&amp;F, &amp;A, &amp;D, &amp;T, Page &amp;P of &amp;N</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R120"/>
  <sheetViews>
    <sheetView topLeftCell="F1" zoomScaleNormal="100" workbookViewId="0">
      <selection activeCell="O18" sqref="O18"/>
    </sheetView>
  </sheetViews>
  <sheetFormatPr defaultRowHeight="12.75" x14ac:dyDescent="0.2"/>
  <cols>
    <col min="1" max="1" width="9.140625" style="186"/>
    <col min="2" max="2" width="6.5703125" style="186" customWidth="1"/>
    <col min="3" max="13" width="10.7109375" style="186" customWidth="1"/>
    <col min="14" max="14" width="3.7109375" style="304" customWidth="1"/>
    <col min="15" max="15" width="10.7109375" style="186" customWidth="1"/>
    <col min="16" max="16" width="14.5703125" style="186" bestFit="1" customWidth="1"/>
    <col min="17" max="16384" width="9.140625" style="186"/>
  </cols>
  <sheetData>
    <row r="1" spans="1:18" x14ac:dyDescent="0.2">
      <c r="A1" s="320" t="str">
        <f>"Commodity Value Timeframe:  "&amp;TEXT(A7,"mmmm")&amp;" - "&amp;TEXT(A18,"mmmm")</f>
        <v>Commodity Value Timeframe:  May - April</v>
      </c>
      <c r="B1" s="319"/>
    </row>
    <row r="2" spans="1:18" ht="13.5" customHeight="1" x14ac:dyDescent="0.2">
      <c r="A2" s="318" t="str">
        <f>'WUTC_KENT_MF (2)'!A1</f>
        <v>Kent-Meridian Disposal</v>
      </c>
      <c r="B2" s="318"/>
    </row>
    <row r="3" spans="1:18" ht="13.5" customHeight="1" x14ac:dyDescent="0.2">
      <c r="A3" s="318"/>
      <c r="B3" s="318"/>
    </row>
    <row r="4" spans="1:18" x14ac:dyDescent="0.2">
      <c r="B4" s="314"/>
      <c r="C4" s="316" t="s">
        <v>21</v>
      </c>
      <c r="D4" s="316" t="s">
        <v>22</v>
      </c>
      <c r="E4" s="316" t="s">
        <v>55</v>
      </c>
      <c r="F4" s="316" t="s">
        <v>23</v>
      </c>
      <c r="G4" s="316" t="s">
        <v>24</v>
      </c>
      <c r="H4" s="316" t="s">
        <v>25</v>
      </c>
      <c r="I4" s="316" t="s">
        <v>26</v>
      </c>
      <c r="J4" s="316" t="s">
        <v>27</v>
      </c>
      <c r="K4" s="316" t="s">
        <v>28</v>
      </c>
      <c r="L4" s="316" t="s">
        <v>29</v>
      </c>
      <c r="M4" s="316" t="s">
        <v>30</v>
      </c>
      <c r="N4" s="186"/>
      <c r="O4" s="317"/>
    </row>
    <row r="5" spans="1:18" x14ac:dyDescent="0.2">
      <c r="B5" s="314"/>
      <c r="C5" s="314"/>
      <c r="D5" s="314"/>
      <c r="E5" s="314"/>
      <c r="F5" s="314"/>
      <c r="G5" s="314"/>
      <c r="H5" s="314"/>
      <c r="I5" s="314"/>
      <c r="J5" s="314"/>
      <c r="K5" s="314"/>
      <c r="L5" s="314"/>
      <c r="M5" s="314"/>
      <c r="N5" s="186"/>
      <c r="O5" s="317" t="str">
        <f>+TEXT(P20,"00.0%")&amp;" of"</f>
        <v>50.0% of</v>
      </c>
    </row>
    <row r="6" spans="1:18" x14ac:dyDescent="0.2">
      <c r="B6" s="314"/>
      <c r="C6" s="314"/>
      <c r="D6" s="314"/>
      <c r="E6" s="314"/>
      <c r="F6" s="314"/>
      <c r="G6" s="314"/>
      <c r="H6" s="314"/>
      <c r="I6" s="314"/>
      <c r="J6" s="314"/>
      <c r="K6" s="314"/>
      <c r="L6" s="314"/>
      <c r="M6" s="314"/>
      <c r="N6" s="186"/>
      <c r="O6" s="317" t="s">
        <v>30</v>
      </c>
      <c r="P6" s="316" t="s">
        <v>68</v>
      </c>
      <c r="Q6" s="315" t="s">
        <v>76</v>
      </c>
    </row>
    <row r="7" spans="1:18" x14ac:dyDescent="0.2">
      <c r="A7" s="313">
        <f>+'Pricing MF'!A7</f>
        <v>42155</v>
      </c>
      <c r="B7" s="314"/>
      <c r="C7" s="311">
        <f>'Commodity Tonnages MF'!C7*'Pricing MF'!C7</f>
        <v>18.673200000000001</v>
      </c>
      <c r="D7" s="311">
        <f>'Commodity Tonnages MF'!D7*'Pricing MF'!D7</f>
        <v>-1.2135552000000003</v>
      </c>
      <c r="E7" s="311">
        <f>'Commodity Tonnages MF'!E7*'Pricing MF'!E7</f>
        <v>0</v>
      </c>
      <c r="F7" s="311">
        <f>'Commodity Tonnages MF'!F7*'Pricing MF'!F7</f>
        <v>3.8059164000000005</v>
      </c>
      <c r="G7" s="311">
        <f>'Commodity Tonnages MF'!G7*'Pricing MF'!G7</f>
        <v>43.956900000000005</v>
      </c>
      <c r="H7" s="311">
        <f>'Commodity Tonnages MF'!H7*'Pricing MF'!H7</f>
        <v>69.658630079999966</v>
      </c>
      <c r="I7" s="311">
        <f>'Commodity Tonnages MF'!I7*'Pricing MF'!I7</f>
        <v>9.3718872000000015</v>
      </c>
      <c r="J7" s="311">
        <f>'Commodity Tonnages MF'!J7*'Pricing MF'!J7</f>
        <v>9.3718872000000015</v>
      </c>
      <c r="K7" s="311">
        <f>'Commodity Tonnages MF'!K7*'Pricing MF'!K7</f>
        <v>48.815395200000005</v>
      </c>
      <c r="L7" s="311">
        <f>'Commodity Tonnages MF'!L7*'Pricing MF'!L7</f>
        <v>-22.233372720000048</v>
      </c>
      <c r="M7" s="352">
        <f t="shared" ref="M7:M18" si="0">SUM(C7:L7)</f>
        <v>180.20688815999995</v>
      </c>
      <c r="N7" s="186"/>
      <c r="O7" s="139">
        <f t="shared" ref="O7:O18" si="1">M7-Q7</f>
        <v>90.101288159999953</v>
      </c>
      <c r="P7" s="112">
        <f t="shared" ref="P7:P18" si="2">IFERROR(O7/M7,0)</f>
        <v>0.49998803641735323</v>
      </c>
      <c r="Q7" s="354">
        <v>90.105599999999995</v>
      </c>
      <c r="R7" s="68"/>
    </row>
    <row r="8" spans="1:18" x14ac:dyDescent="0.2">
      <c r="A8" s="313">
        <f>+'Pricing MF'!A8</f>
        <v>42185</v>
      </c>
      <c r="B8" s="314"/>
      <c r="C8" s="311">
        <f>'Commodity Tonnages MF'!C8*'Pricing MF'!C8</f>
        <v>19.856850000000001</v>
      </c>
      <c r="D8" s="311">
        <f>'Commodity Tonnages MF'!D8*'Pricing MF'!D8</f>
        <v>-4.6947471999999992</v>
      </c>
      <c r="E8" s="311">
        <f>'Commodity Tonnages MF'!E8*'Pricing MF'!E8</f>
        <v>0</v>
      </c>
      <c r="F8" s="311">
        <f>'Commodity Tonnages MF'!F8*'Pricing MF'!F8</f>
        <v>3.6408900000000006</v>
      </c>
      <c r="G8" s="311">
        <f>'Commodity Tonnages MF'!G8*'Pricing MF'!G8</f>
        <v>50.142690000000002</v>
      </c>
      <c r="H8" s="311">
        <f>'Commodity Tonnages MF'!H8*'Pricing MF'!H8</f>
        <v>78.743816399999943</v>
      </c>
      <c r="I8" s="311">
        <f>'Commodity Tonnages MF'!I8*'Pricing MF'!I8</f>
        <v>9.8809184999999999</v>
      </c>
      <c r="J8" s="311">
        <f>'Commodity Tonnages MF'!J8*'Pricing MF'!J8</f>
        <v>9.8809184999999999</v>
      </c>
      <c r="K8" s="311">
        <f>'Commodity Tonnages MF'!K8*'Pricing MF'!K8</f>
        <v>54.7473168</v>
      </c>
      <c r="L8" s="311">
        <f>'Commodity Tonnages MF'!L8*'Pricing MF'!L8</f>
        <v>-24.228675400000053</v>
      </c>
      <c r="M8" s="352">
        <f t="shared" si="0"/>
        <v>197.96997759999991</v>
      </c>
      <c r="N8" s="186"/>
      <c r="O8" s="139">
        <f t="shared" si="1"/>
        <v>98.995977599999918</v>
      </c>
      <c r="P8" s="112">
        <f t="shared" si="2"/>
        <v>0.50005550740639149</v>
      </c>
      <c r="Q8" s="354">
        <v>98.97399999999999</v>
      </c>
      <c r="R8" s="68"/>
    </row>
    <row r="9" spans="1:18" x14ac:dyDescent="0.2">
      <c r="A9" s="313">
        <f>+'Pricing MF'!A9</f>
        <v>42216</v>
      </c>
      <c r="B9" s="305"/>
      <c r="C9" s="311">
        <f>'Commodity Tonnages MF'!C9*'Pricing MF'!C9</f>
        <v>16.5501</v>
      </c>
      <c r="D9" s="311">
        <f>'Commodity Tonnages MF'!D9*'Pricing MF'!D9</f>
        <v>-4.0319593600000001</v>
      </c>
      <c r="E9" s="311">
        <f>'Commodity Tonnages MF'!E9*'Pricing MF'!E9</f>
        <v>0</v>
      </c>
      <c r="F9" s="311">
        <f>'Commodity Tonnages MF'!F9*'Pricing MF'!F9</f>
        <v>2.7333437999999997</v>
      </c>
      <c r="G9" s="311">
        <f>'Commodity Tonnages MF'!G9*'Pricing MF'!G9</f>
        <v>46.297679999999993</v>
      </c>
      <c r="H9" s="311">
        <f>'Commodity Tonnages MF'!H9*'Pricing MF'!H9</f>
        <v>71.440501039999958</v>
      </c>
      <c r="I9" s="311">
        <f>'Commodity Tonnages MF'!I9*'Pricing MF'!I9</f>
        <v>8.5697127799999997</v>
      </c>
      <c r="J9" s="311">
        <f>'Commodity Tonnages MF'!J9*'Pricing MF'!J9</f>
        <v>8.5697127799999997</v>
      </c>
      <c r="K9" s="311">
        <f>'Commodity Tonnages MF'!K9*'Pricing MF'!K9</f>
        <v>51.378053759999993</v>
      </c>
      <c r="L9" s="311">
        <f>'Commodity Tonnages MF'!L9*'Pricing MF'!L9</f>
        <v>-20.238070040000043</v>
      </c>
      <c r="M9" s="352">
        <f t="shared" si="0"/>
        <v>181.26907475999991</v>
      </c>
      <c r="N9" s="307"/>
      <c r="O9" s="139">
        <f t="shared" si="1"/>
        <v>90.644674759999916</v>
      </c>
      <c r="P9" s="112">
        <f t="shared" si="2"/>
        <v>0.50005592448691749</v>
      </c>
      <c r="Q9" s="354">
        <v>90.624399999999994</v>
      </c>
      <c r="R9" s="68"/>
    </row>
    <row r="10" spans="1:18" x14ac:dyDescent="0.2">
      <c r="A10" s="313">
        <f>+'Pricing MF'!A10</f>
        <v>42247</v>
      </c>
      <c r="B10" s="305"/>
      <c r="C10" s="311">
        <f>'Commodity Tonnages MF'!C10*'Pricing MF'!C10</f>
        <v>19.09215</v>
      </c>
      <c r="D10" s="311">
        <f>'Commodity Tonnages MF'!D10*'Pricing MF'!D10</f>
        <v>-0.85726784000000011</v>
      </c>
      <c r="E10" s="311">
        <f>'Commodity Tonnages MF'!E10*'Pricing MF'!E10</f>
        <v>0</v>
      </c>
      <c r="F10" s="311">
        <f>'Commodity Tonnages MF'!F10*'Pricing MF'!F10</f>
        <v>3.1186237500000002</v>
      </c>
      <c r="G10" s="311">
        <f>'Commodity Tonnages MF'!G10*'Pricing MF'!G10</f>
        <v>58.080808500000003</v>
      </c>
      <c r="H10" s="311">
        <f>'Commodity Tonnages MF'!H10*'Pricing MF'!H10</f>
        <v>89.791628739999965</v>
      </c>
      <c r="I10" s="311">
        <f>'Commodity Tonnages MF'!I10*'Pricing MF'!I10</f>
        <v>9.3400935099999991</v>
      </c>
      <c r="J10" s="311">
        <f>'Commodity Tonnages MF'!J10*'Pricing MF'!J10</f>
        <v>9.3400935099999991</v>
      </c>
      <c r="K10" s="311">
        <f>'Commodity Tonnages MF'!K10*'Pricing MF'!K10</f>
        <v>62.962408080000003</v>
      </c>
      <c r="L10" s="311">
        <f>'Commodity Tonnages MF'!L10*'Pricing MF'!L10</f>
        <v>-22.73219839000005</v>
      </c>
      <c r="M10" s="352">
        <f t="shared" si="0"/>
        <v>228.13633985999991</v>
      </c>
      <c r="N10" s="307"/>
      <c r="O10" s="139">
        <f t="shared" si="1"/>
        <v>114.06193985999991</v>
      </c>
      <c r="P10" s="112">
        <f t="shared" si="2"/>
        <v>0.49997269146158885</v>
      </c>
      <c r="Q10" s="354">
        <v>114.0744</v>
      </c>
      <c r="R10" s="68"/>
    </row>
    <row r="11" spans="1:18" x14ac:dyDescent="0.2">
      <c r="A11" s="313">
        <f>+'Pricing MF'!A11</f>
        <v>42277</v>
      </c>
      <c r="B11" s="305"/>
      <c r="C11" s="311">
        <f>'Commodity Tonnages MF'!C11*'Pricing MF'!C11</f>
        <v>17.287199999999999</v>
      </c>
      <c r="D11" s="311">
        <f>'Commodity Tonnages MF'!D11*'Pricing MF'!D11</f>
        <v>-3.0719707200000004</v>
      </c>
      <c r="E11" s="311">
        <f>'Commodity Tonnages MF'!E11*'Pricing MF'!E11</f>
        <v>0</v>
      </c>
      <c r="F11" s="311">
        <f>'Commodity Tonnages MF'!F11*'Pricing MF'!F11</f>
        <v>2.8761579000000004</v>
      </c>
      <c r="G11" s="311">
        <f>'Commodity Tonnages MF'!G11*'Pricing MF'!G11</f>
        <v>51.975377999999999</v>
      </c>
      <c r="H11" s="311">
        <f>'Commodity Tonnages MF'!H11*'Pricing MF'!H11</f>
        <v>73.615418519999963</v>
      </c>
      <c r="I11" s="311">
        <f>'Commodity Tonnages MF'!I11*'Pricing MF'!I11</f>
        <v>7.3190726700000006</v>
      </c>
      <c r="J11" s="311">
        <f>'Commodity Tonnages MF'!J11*'Pricing MF'!J11</f>
        <v>7.3190726700000006</v>
      </c>
      <c r="K11" s="311">
        <f>'Commodity Tonnages MF'!K11*'Pricing MF'!K11</f>
        <v>52.317452879999991</v>
      </c>
      <c r="L11" s="311">
        <f>'Commodity Tonnages MF'!L11*'Pricing MF'!L11</f>
        <v>-20.950678140000047</v>
      </c>
      <c r="M11" s="352">
        <f t="shared" si="0"/>
        <v>188.68710377999992</v>
      </c>
      <c r="N11" s="307"/>
      <c r="O11" s="139">
        <f t="shared" si="1"/>
        <v>94.342503779999902</v>
      </c>
      <c r="P11" s="112">
        <f t="shared" si="2"/>
        <v>0.49999444524835529</v>
      </c>
      <c r="Q11" s="354">
        <v>94.344600000000014</v>
      </c>
      <c r="R11" s="68"/>
    </row>
    <row r="12" spans="1:18" x14ac:dyDescent="0.2">
      <c r="A12" s="313">
        <f>+'Pricing MF'!A12</f>
        <v>42308</v>
      </c>
      <c r="B12" s="305"/>
      <c r="C12" s="311">
        <f>'Commodity Tonnages MF'!C12*'Pricing MF'!C12</f>
        <v>18.757199999999997</v>
      </c>
      <c r="D12" s="311">
        <f>'Commodity Tonnages MF'!D12*'Pricing MF'!D12</f>
        <v>-3.65389024</v>
      </c>
      <c r="E12" s="311">
        <f>'Commodity Tonnages MF'!E12*'Pricing MF'!E12</f>
        <v>0</v>
      </c>
      <c r="F12" s="311">
        <f>'Commodity Tonnages MF'!F12*'Pricing MF'!F12</f>
        <v>2.6666270400000003</v>
      </c>
      <c r="G12" s="311">
        <f>'Commodity Tonnages MF'!G12*'Pricing MF'!G12</f>
        <v>53.135082000000004</v>
      </c>
      <c r="H12" s="311">
        <f>'Commodity Tonnages MF'!H12*'Pricing MF'!H12</f>
        <v>75.743224479999981</v>
      </c>
      <c r="I12" s="311">
        <f>'Commodity Tonnages MF'!I12*'Pricing MF'!I12</f>
        <v>6.9595449</v>
      </c>
      <c r="J12" s="311">
        <f>'Commodity Tonnages MF'!J12*'Pricing MF'!J12</f>
        <v>6.9595449</v>
      </c>
      <c r="K12" s="311">
        <f>'Commodity Tonnages MF'!K12*'Pricing MF'!K12</f>
        <v>56.883435840000004</v>
      </c>
      <c r="L12" s="311">
        <f>'Commodity Tonnages MF'!L12*'Pricing MF'!L12</f>
        <v>-21.948329480000051</v>
      </c>
      <c r="M12" s="352">
        <f t="shared" si="0"/>
        <v>195.50243943999993</v>
      </c>
      <c r="N12" s="307"/>
      <c r="O12" s="139">
        <f t="shared" si="1"/>
        <v>97.74323943999994</v>
      </c>
      <c r="P12" s="112">
        <f t="shared" si="2"/>
        <v>0.49995918066279438</v>
      </c>
      <c r="Q12" s="354">
        <v>97.759199999999993</v>
      </c>
      <c r="R12" s="68"/>
    </row>
    <row r="13" spans="1:18" x14ac:dyDescent="0.2">
      <c r="A13" s="313">
        <f>+'Pricing MF'!A13</f>
        <v>42338</v>
      </c>
      <c r="B13" s="305"/>
      <c r="C13" s="311">
        <f>'Commodity Tonnages MF'!C13*'Pricing MF'!C13</f>
        <v>24.02817525</v>
      </c>
      <c r="D13" s="311">
        <f>'Commodity Tonnages MF'!D13*'Pricing MF'!D13</f>
        <v>-11.064532960000001</v>
      </c>
      <c r="E13" s="311">
        <f>'Commodity Tonnages MF'!E13*'Pricing MF'!E13</f>
        <v>0</v>
      </c>
      <c r="F13" s="311">
        <f>'Commodity Tonnages MF'!F13*'Pricing MF'!F13</f>
        <v>4.1710595850000001</v>
      </c>
      <c r="G13" s="311">
        <f>'Commodity Tonnages MF'!G13*'Pricing MF'!G13</f>
        <v>68.277027000000004</v>
      </c>
      <c r="H13" s="311">
        <f>'Commodity Tonnages MF'!H13*'Pricing MF'!H13</f>
        <v>100.55918545999992</v>
      </c>
      <c r="I13" s="311">
        <f>'Commodity Tonnages MF'!I13*'Pricing MF'!I13</f>
        <v>9.2096926850000003</v>
      </c>
      <c r="J13" s="311">
        <f>'Commodity Tonnages MF'!J13*'Pricing MF'!J13</f>
        <v>9.2096926850000003</v>
      </c>
      <c r="K13" s="311">
        <f>'Commodity Tonnages MF'!K13*'Pricing MF'!K13</f>
        <v>75.526113960000004</v>
      </c>
      <c r="L13" s="311">
        <f>'Commodity Tonnages MF'!L13*'Pricing MF'!L13</f>
        <v>-27.292890230000062</v>
      </c>
      <c r="M13" s="352">
        <f t="shared" si="0"/>
        <v>252.62352343499987</v>
      </c>
      <c r="N13" s="307"/>
      <c r="O13" s="139">
        <f t="shared" si="1"/>
        <v>126.31012343499988</v>
      </c>
      <c r="P13" s="112">
        <f t="shared" si="2"/>
        <v>0.49999351492498489</v>
      </c>
      <c r="Q13" s="354">
        <v>126.31339999999999</v>
      </c>
      <c r="R13" s="68"/>
    </row>
    <row r="14" spans="1:18" x14ac:dyDescent="0.2">
      <c r="A14" s="313">
        <f>+'Pricing MF'!A14</f>
        <v>42369</v>
      </c>
      <c r="B14" s="305"/>
      <c r="C14" s="311">
        <f>'Commodity Tonnages MF'!C14*'Pricing MF'!C14</f>
        <v>22.150544849999999</v>
      </c>
      <c r="D14" s="311">
        <f>'Commodity Tonnages MF'!D14*'Pricing MF'!D14</f>
        <v>-11.917769760000002</v>
      </c>
      <c r="E14" s="311">
        <f>'Commodity Tonnages MF'!E14*'Pricing MF'!E14</f>
        <v>0</v>
      </c>
      <c r="F14" s="311">
        <f>'Commodity Tonnages MF'!F14*'Pricing MF'!F14</f>
        <v>3.8114514899999996</v>
      </c>
      <c r="G14" s="311">
        <f>'Commodity Tonnages MF'!G14*'Pricing MF'!G14</f>
        <v>60.123035699999996</v>
      </c>
      <c r="H14" s="311">
        <f>'Commodity Tonnages MF'!H14*'Pricing MF'!H14</f>
        <v>94.588385975999969</v>
      </c>
      <c r="I14" s="311">
        <f>'Commodity Tonnages MF'!I14*'Pricing MF'!I14</f>
        <v>7.6382820359999997</v>
      </c>
      <c r="J14" s="311">
        <f>'Commodity Tonnages MF'!J14*'Pricing MF'!J14</f>
        <v>7.6382820359999997</v>
      </c>
      <c r="K14" s="311">
        <f>'Commodity Tonnages MF'!K14*'Pricing MF'!K14</f>
        <v>68.624613288000006</v>
      </c>
      <c r="L14" s="311">
        <f>'Commodity Tonnages MF'!L14*'Pricing MF'!L14</f>
        <v>-24.371197020000054</v>
      </c>
      <c r="M14" s="352">
        <f t="shared" si="0"/>
        <v>228.28562859599992</v>
      </c>
      <c r="N14" s="307"/>
      <c r="O14" s="139">
        <f t="shared" si="1"/>
        <v>114.12602859599991</v>
      </c>
      <c r="P14" s="112">
        <f t="shared" si="2"/>
        <v>0.49992647061445222</v>
      </c>
      <c r="Q14" s="354">
        <v>114.15960000000001</v>
      </c>
      <c r="R14" s="68"/>
    </row>
    <row r="15" spans="1:18" x14ac:dyDescent="0.2">
      <c r="A15" s="313">
        <f>+'Pricing MF'!A15</f>
        <v>42400</v>
      </c>
      <c r="B15" s="305"/>
      <c r="C15" s="311">
        <f>'Commodity Tonnages MF'!C15*'Pricing MF'!C15</f>
        <v>24.465688799999995</v>
      </c>
      <c r="D15" s="311">
        <f>'Commodity Tonnages MF'!D15*'Pricing MF'!D15</f>
        <v>-7.1568640000000006</v>
      </c>
      <c r="E15" s="311">
        <f>'Commodity Tonnages MF'!E15*'Pricing MF'!E15</f>
        <v>0</v>
      </c>
      <c r="F15" s="311">
        <f>'Commodity Tonnages MF'!F15*'Pricing MF'!F15</f>
        <v>5.0073962400000003</v>
      </c>
      <c r="G15" s="311">
        <f>'Commodity Tonnages MF'!G15*'Pricing MF'!G15</f>
        <v>67.516831199999999</v>
      </c>
      <c r="H15" s="311">
        <f>'Commodity Tonnages MF'!H15*'Pricing MF'!H15</f>
        <v>95.205688479999949</v>
      </c>
      <c r="I15" s="311">
        <f>'Commodity Tonnages MF'!I15*'Pricing MF'!I15</f>
        <v>9.2501004400000006</v>
      </c>
      <c r="J15" s="311">
        <f>'Commodity Tonnages MF'!J15*'Pricing MF'!J15</f>
        <v>9.2501004400000006</v>
      </c>
      <c r="K15" s="311">
        <f>'Commodity Tonnages MF'!K15*'Pricing MF'!K15</f>
        <v>78.413759423999991</v>
      </c>
      <c r="L15" s="311">
        <f>'Commodity Tonnages MF'!L15*'Pricing MF'!L15</f>
        <v>-26.223978080000059</v>
      </c>
      <c r="M15" s="352">
        <f t="shared" si="0"/>
        <v>255.72872294399991</v>
      </c>
      <c r="N15" s="307"/>
      <c r="O15" s="139">
        <f t="shared" si="1"/>
        <v>127.86712294399992</v>
      </c>
      <c r="P15" s="112">
        <f t="shared" si="2"/>
        <v>0.50001079844285057</v>
      </c>
      <c r="Q15" s="354">
        <v>127.8616</v>
      </c>
      <c r="R15" s="68"/>
    </row>
    <row r="16" spans="1:18" x14ac:dyDescent="0.2">
      <c r="A16" s="313">
        <f>+'Pricing MF'!A16</f>
        <v>42429</v>
      </c>
      <c r="B16" s="305"/>
      <c r="C16" s="311">
        <f>'Commodity Tonnages MF'!C16*'Pricing MF'!C16</f>
        <v>21.489415499999996</v>
      </c>
      <c r="D16" s="311">
        <f>'Commodity Tonnages MF'!D16*'Pricing MF'!D16</f>
        <v>-5.6889820000000011</v>
      </c>
      <c r="E16" s="311">
        <f>'Commodity Tonnages MF'!E16*'Pricing MF'!E16</f>
        <v>0</v>
      </c>
      <c r="F16" s="311">
        <f>'Commodity Tonnages MF'!F16*'Pricing MF'!F16</f>
        <v>3.6995920500000001</v>
      </c>
      <c r="G16" s="311">
        <f>'Commodity Tonnages MF'!G16*'Pricing MF'!G16</f>
        <v>66.191511750000004</v>
      </c>
      <c r="H16" s="311">
        <f>'Commodity Tonnages MF'!H16*'Pricing MF'!H16</f>
        <v>101.12585916999994</v>
      </c>
      <c r="I16" s="311">
        <f>'Commodity Tonnages MF'!I16*'Pricing MF'!I16</f>
        <v>8.561390565</v>
      </c>
      <c r="J16" s="311">
        <f>'Commodity Tonnages MF'!J16*'Pricing MF'!J16</f>
        <v>8.561390565</v>
      </c>
      <c r="K16" s="311">
        <f>'Commodity Tonnages MF'!K16*'Pricing MF'!K16</f>
        <v>76.867532279999992</v>
      </c>
      <c r="L16" s="311">
        <f>'Commodity Tonnages MF'!L16*'Pricing MF'!L16</f>
        <v>-21.734547050000046</v>
      </c>
      <c r="M16" s="352">
        <f t="shared" si="0"/>
        <v>259.07316282999989</v>
      </c>
      <c r="N16" s="307"/>
      <c r="O16" s="139">
        <f t="shared" si="1"/>
        <v>129.53966282999991</v>
      </c>
      <c r="P16" s="112">
        <f t="shared" si="2"/>
        <v>0.50001189399537305</v>
      </c>
      <c r="Q16" s="354">
        <v>129.53349999999998</v>
      </c>
      <c r="R16" s="68"/>
    </row>
    <row r="17" spans="1:18" x14ac:dyDescent="0.2">
      <c r="A17" s="313">
        <f>+'Pricing MF'!A17</f>
        <v>42460</v>
      </c>
      <c r="B17" s="305"/>
      <c r="C17" s="311">
        <f>'Commodity Tonnages MF'!C17*'Pricing MF'!C17</f>
        <v>27.657100799999998</v>
      </c>
      <c r="D17" s="311">
        <f>'Commodity Tonnages MF'!D17*'Pricing MF'!D17</f>
        <v>-7.0878412800000001</v>
      </c>
      <c r="E17" s="311">
        <f>'Commodity Tonnages MF'!E17*'Pricing MF'!E17</f>
        <v>0</v>
      </c>
      <c r="F17" s="311">
        <f>'Commodity Tonnages MF'!F17*'Pricing MF'!F17</f>
        <v>5.6579846400000005</v>
      </c>
      <c r="G17" s="311">
        <f>'Commodity Tonnages MF'!G17*'Pricing MF'!G17</f>
        <v>79.693286400000005</v>
      </c>
      <c r="H17" s="311">
        <f>'Commodity Tonnages MF'!H17*'Pricing MF'!H17</f>
        <v>126.65306572799994</v>
      </c>
      <c r="I17" s="311">
        <f>'Commodity Tonnages MF'!I17*'Pricing MF'!I17</f>
        <v>9.395206464000001</v>
      </c>
      <c r="J17" s="311">
        <f>'Commodity Tonnages MF'!J17*'Pricing MF'!J17</f>
        <v>9.395206464000001</v>
      </c>
      <c r="K17" s="311">
        <f>'Commodity Tonnages MF'!K17*'Pricing MF'!K17</f>
        <v>107.36820864000001</v>
      </c>
      <c r="L17" s="311">
        <f>'Commodity Tonnages MF'!L17*'Pricing MF'!L17</f>
        <v>-30.647758080000067</v>
      </c>
      <c r="M17" s="352">
        <f t="shared" si="0"/>
        <v>328.0844597759999</v>
      </c>
      <c r="N17" s="307"/>
      <c r="O17" s="139">
        <f t="shared" si="1"/>
        <v>164.03965977599992</v>
      </c>
      <c r="P17" s="112">
        <f t="shared" si="2"/>
        <v>0.49999216630985271</v>
      </c>
      <c r="Q17" s="354">
        <v>164.04479999999998</v>
      </c>
      <c r="R17" s="68"/>
    </row>
    <row r="18" spans="1:18" x14ac:dyDescent="0.2">
      <c r="A18" s="313">
        <f>+'Pricing MF'!A18</f>
        <v>42490</v>
      </c>
      <c r="B18" s="305"/>
      <c r="C18" s="311">
        <f>'Commodity Tonnages MF'!C18*'Pricing MF'!C18</f>
        <v>24.597226499999998</v>
      </c>
      <c r="D18" s="311">
        <f>'Commodity Tonnages MF'!D18*'Pricing MF'!D18</f>
        <v>-6.3925576</v>
      </c>
      <c r="E18" s="311">
        <f>'Commodity Tonnages MF'!E18*'Pricing MF'!E18</f>
        <v>0</v>
      </c>
      <c r="F18" s="311">
        <f>'Commodity Tonnages MF'!F18*'Pricing MF'!F18</f>
        <v>4.4404602000000004</v>
      </c>
      <c r="G18" s="311">
        <f>'Commodity Tonnages MF'!G18*'Pricing MF'!G18</f>
        <v>41.170194000000002</v>
      </c>
      <c r="H18" s="311">
        <f>'Commodity Tonnages MF'!H18*'Pricing MF'!H18</f>
        <v>60.29212619999997</v>
      </c>
      <c r="I18" s="311">
        <f>'Commodity Tonnages MF'!I18*'Pricing MF'!I18</f>
        <v>7.834502220000001</v>
      </c>
      <c r="J18" s="311">
        <f>'Commodity Tonnages MF'!J18*'Pricing MF'!J18</f>
        <v>7.834502220000001</v>
      </c>
      <c r="K18" s="311">
        <f>'Commodity Tonnages MF'!K18*'Pricing MF'!K18</f>
        <v>73.36590228</v>
      </c>
      <c r="L18" s="311">
        <f>'Commodity Tonnages MF'!L18*'Pricing MF'!L18</f>
        <v>-27.614907020000061</v>
      </c>
      <c r="M18" s="352">
        <f t="shared" si="0"/>
        <v>185.5274489999999</v>
      </c>
      <c r="N18" s="307"/>
      <c r="O18" s="139">
        <f t="shared" si="1"/>
        <v>92.764848999999913</v>
      </c>
      <c r="P18" s="112">
        <f t="shared" si="2"/>
        <v>0.50000606109772983</v>
      </c>
      <c r="Q18" s="354">
        <v>92.762599999999992</v>
      </c>
      <c r="R18" s="68"/>
    </row>
    <row r="19" spans="1:18" ht="6.75" customHeight="1" x14ac:dyDescent="0.2">
      <c r="A19" s="305"/>
      <c r="B19" s="305"/>
      <c r="C19" s="311"/>
      <c r="D19" s="311"/>
      <c r="E19" s="311"/>
      <c r="F19" s="311"/>
      <c r="G19" s="311"/>
      <c r="H19" s="311"/>
      <c r="I19" s="311"/>
      <c r="J19" s="311"/>
      <c r="K19" s="311"/>
      <c r="L19" s="311"/>
      <c r="M19" s="352"/>
      <c r="N19" s="186"/>
      <c r="O19" s="307"/>
    </row>
    <row r="20" spans="1:18" x14ac:dyDescent="0.2">
      <c r="A20" s="310" t="s">
        <v>33</v>
      </c>
      <c r="B20" s="305"/>
      <c r="C20" s="309">
        <f t="shared" ref="C20:L20" si="3">SUM(C7:C19)</f>
        <v>254.60485169999998</v>
      </c>
      <c r="D20" s="309">
        <f t="shared" si="3"/>
        <v>-66.831938160000007</v>
      </c>
      <c r="E20" s="309">
        <f t="shared" si="3"/>
        <v>0</v>
      </c>
      <c r="F20" s="309">
        <f t="shared" si="3"/>
        <v>45.629503095000004</v>
      </c>
      <c r="G20" s="309">
        <f t="shared" si="3"/>
        <v>686.56042455000011</v>
      </c>
      <c r="H20" s="309">
        <f t="shared" si="3"/>
        <v>1037.4175302739993</v>
      </c>
      <c r="I20" s="309">
        <f t="shared" si="3"/>
        <v>103.33040396999999</v>
      </c>
      <c r="J20" s="309">
        <f t="shared" si="3"/>
        <v>103.33040396999999</v>
      </c>
      <c r="K20" s="309">
        <f t="shared" si="3"/>
        <v>807.27019243200004</v>
      </c>
      <c r="L20" s="309">
        <f t="shared" si="3"/>
        <v>-290.21660165000071</v>
      </c>
      <c r="M20" s="353">
        <f>SUM(C20:L20)</f>
        <v>2681.0947701809991</v>
      </c>
      <c r="N20" s="306"/>
      <c r="O20" s="308">
        <f>SUM(O7:O19)</f>
        <v>1340.5370701809991</v>
      </c>
      <c r="P20" s="113">
        <f>+O20/M20</f>
        <v>0.49999615272476927</v>
      </c>
      <c r="Q20" s="304">
        <f>SUM(Q7:Q18)</f>
        <v>1340.5576999999998</v>
      </c>
    </row>
    <row r="21" spans="1:18" x14ac:dyDescent="0.2">
      <c r="A21" s="305"/>
      <c r="B21" s="305"/>
      <c r="C21" s="307"/>
      <c r="D21" s="307"/>
      <c r="E21" s="307"/>
      <c r="F21" s="307"/>
      <c r="G21" s="307"/>
      <c r="H21" s="307"/>
      <c r="I21" s="307"/>
      <c r="J21" s="307"/>
      <c r="K21" s="307"/>
      <c r="L21" s="307"/>
      <c r="M21" s="352"/>
      <c r="N21" s="186"/>
      <c r="O21" s="304"/>
    </row>
    <row r="22" spans="1:18" x14ac:dyDescent="0.2">
      <c r="A22" s="305"/>
      <c r="B22" s="305"/>
      <c r="C22" s="305"/>
      <c r="D22" s="305"/>
      <c r="E22" s="305"/>
      <c r="F22" s="305"/>
      <c r="G22" s="305"/>
      <c r="H22" s="305"/>
      <c r="I22" s="305"/>
      <c r="J22" s="305"/>
      <c r="K22" s="305"/>
      <c r="L22" s="305"/>
      <c r="M22" s="344"/>
      <c r="N22" s="186"/>
      <c r="O22" s="304"/>
    </row>
    <row r="23" spans="1:18" x14ac:dyDescent="0.2">
      <c r="A23" s="305"/>
      <c r="B23" s="305"/>
      <c r="C23" s="305"/>
      <c r="D23" s="305"/>
      <c r="E23" s="305"/>
      <c r="F23" s="305"/>
      <c r="G23" s="305"/>
      <c r="H23" s="305"/>
      <c r="I23" s="305"/>
      <c r="J23" s="305"/>
      <c r="K23" s="305"/>
    </row>
    <row r="24" spans="1:18" x14ac:dyDescent="0.2">
      <c r="A24" s="305"/>
      <c r="B24" s="305"/>
      <c r="C24" s="305"/>
      <c r="D24" s="305"/>
      <c r="E24" s="305"/>
      <c r="F24" s="305"/>
      <c r="G24" s="305"/>
      <c r="H24" s="305"/>
      <c r="I24" s="305"/>
      <c r="J24" s="305"/>
      <c r="K24" s="305"/>
    </row>
    <row r="25" spans="1:18" x14ac:dyDescent="0.2">
      <c r="A25" s="305"/>
      <c r="B25" s="305"/>
      <c r="C25" s="305"/>
      <c r="D25" s="305"/>
      <c r="E25" s="305"/>
      <c r="F25" s="305"/>
      <c r="G25" s="305"/>
      <c r="H25" s="305"/>
      <c r="I25" s="305"/>
      <c r="J25" s="305"/>
      <c r="K25" s="305"/>
    </row>
    <row r="26" spans="1:18" x14ac:dyDescent="0.2">
      <c r="A26" s="305"/>
      <c r="B26" s="305"/>
      <c r="C26" s="305"/>
      <c r="D26" s="305"/>
      <c r="E26" s="305"/>
      <c r="F26" s="305"/>
      <c r="G26" s="305"/>
      <c r="H26" s="305"/>
      <c r="I26" s="305"/>
      <c r="J26" s="305"/>
      <c r="K26" s="305"/>
    </row>
    <row r="27" spans="1:18" x14ac:dyDescent="0.2">
      <c r="A27" s="305"/>
      <c r="B27" s="305"/>
      <c r="C27" s="305"/>
      <c r="D27" s="305"/>
      <c r="E27" s="305"/>
      <c r="F27" s="305"/>
      <c r="G27" s="305"/>
      <c r="H27" s="305"/>
      <c r="I27" s="305"/>
      <c r="J27" s="305"/>
      <c r="K27" s="305"/>
    </row>
    <row r="28" spans="1:18" x14ac:dyDescent="0.2">
      <c r="A28" s="305"/>
      <c r="B28" s="305"/>
      <c r="C28" s="305"/>
      <c r="D28" s="305"/>
      <c r="E28" s="305"/>
      <c r="F28" s="305"/>
      <c r="G28" s="305"/>
      <c r="H28" s="305"/>
      <c r="I28" s="305"/>
      <c r="J28" s="305"/>
      <c r="K28" s="305"/>
    </row>
    <row r="29" spans="1:18" x14ac:dyDescent="0.2">
      <c r="A29" s="305"/>
      <c r="B29" s="305"/>
      <c r="C29" s="305"/>
      <c r="D29" s="305"/>
      <c r="E29" s="305"/>
      <c r="F29" s="305"/>
      <c r="G29" s="305"/>
      <c r="H29" s="305"/>
      <c r="I29" s="305"/>
      <c r="J29" s="305"/>
      <c r="K29" s="305"/>
    </row>
    <row r="30" spans="1:18" x14ac:dyDescent="0.2">
      <c r="A30" s="305"/>
      <c r="B30" s="305"/>
      <c r="C30" s="305"/>
      <c r="D30" s="305"/>
      <c r="E30" s="305"/>
      <c r="F30" s="305"/>
      <c r="G30" s="305"/>
      <c r="H30" s="305"/>
      <c r="I30" s="305"/>
      <c r="J30" s="305"/>
      <c r="K30" s="305"/>
    </row>
    <row r="31" spans="1:18" x14ac:dyDescent="0.2">
      <c r="A31" s="305"/>
      <c r="B31" s="305"/>
      <c r="C31" s="305"/>
      <c r="D31" s="305"/>
      <c r="E31" s="305"/>
      <c r="F31" s="305"/>
      <c r="G31" s="305"/>
      <c r="H31" s="305"/>
      <c r="I31" s="305"/>
      <c r="J31" s="305"/>
      <c r="K31" s="305"/>
    </row>
    <row r="32" spans="1:18" x14ac:dyDescent="0.2">
      <c r="A32" s="305"/>
      <c r="B32" s="305"/>
      <c r="C32" s="305"/>
      <c r="D32" s="305"/>
      <c r="E32" s="305"/>
      <c r="F32" s="305"/>
      <c r="G32" s="305"/>
      <c r="H32" s="305"/>
      <c r="I32" s="305"/>
      <c r="J32" s="305"/>
      <c r="K32" s="305"/>
    </row>
    <row r="33" spans="1:11" x14ac:dyDescent="0.2">
      <c r="A33" s="305"/>
      <c r="B33" s="305"/>
      <c r="C33" s="305"/>
      <c r="D33" s="305"/>
      <c r="E33" s="305"/>
      <c r="F33" s="305"/>
      <c r="G33" s="305"/>
      <c r="H33" s="305"/>
      <c r="I33" s="305"/>
      <c r="J33" s="305"/>
      <c r="K33" s="305"/>
    </row>
    <row r="34" spans="1:11" x14ac:dyDescent="0.2">
      <c r="A34" s="305"/>
      <c r="B34" s="305"/>
      <c r="C34" s="305"/>
      <c r="D34" s="305"/>
      <c r="E34" s="305"/>
      <c r="F34" s="305"/>
      <c r="G34" s="305"/>
      <c r="H34" s="305"/>
      <c r="I34" s="305"/>
      <c r="J34" s="305"/>
      <c r="K34" s="305"/>
    </row>
    <row r="35" spans="1:11" x14ac:dyDescent="0.2">
      <c r="A35" s="305"/>
      <c r="B35" s="305"/>
      <c r="C35" s="305"/>
      <c r="D35" s="305"/>
      <c r="E35" s="305"/>
      <c r="F35" s="305"/>
      <c r="G35" s="305"/>
      <c r="H35" s="305"/>
      <c r="I35" s="305"/>
      <c r="J35" s="305"/>
      <c r="K35" s="305"/>
    </row>
    <row r="36" spans="1:11" x14ac:dyDescent="0.2">
      <c r="A36" s="305"/>
      <c r="B36" s="305"/>
      <c r="C36" s="305"/>
      <c r="D36" s="305"/>
      <c r="E36" s="305"/>
      <c r="F36" s="305"/>
      <c r="G36" s="305"/>
      <c r="H36" s="305"/>
      <c r="I36" s="305"/>
      <c r="J36" s="305"/>
      <c r="K36" s="305"/>
    </row>
    <row r="37" spans="1:11" x14ac:dyDescent="0.2">
      <c r="A37" s="305"/>
      <c r="B37" s="305"/>
      <c r="C37" s="305"/>
      <c r="D37" s="305"/>
      <c r="E37" s="305"/>
      <c r="F37" s="305"/>
      <c r="G37" s="305"/>
      <c r="H37" s="305"/>
      <c r="I37" s="305"/>
      <c r="J37" s="305"/>
      <c r="K37" s="305"/>
    </row>
    <row r="38" spans="1:11" x14ac:dyDescent="0.2">
      <c r="A38" s="305"/>
      <c r="B38" s="305"/>
      <c r="C38" s="305"/>
      <c r="D38" s="305"/>
      <c r="E38" s="305"/>
      <c r="F38" s="305"/>
      <c r="G38" s="305"/>
      <c r="H38" s="305"/>
      <c r="I38" s="305"/>
      <c r="J38" s="305"/>
      <c r="K38" s="305"/>
    </row>
    <row r="39" spans="1:11" x14ac:dyDescent="0.2">
      <c r="A39" s="305"/>
      <c r="B39" s="305"/>
      <c r="C39" s="305"/>
      <c r="D39" s="305"/>
      <c r="E39" s="305"/>
      <c r="F39" s="305"/>
      <c r="G39" s="305"/>
      <c r="H39" s="305"/>
      <c r="I39" s="305"/>
      <c r="J39" s="305"/>
      <c r="K39" s="305"/>
    </row>
    <row r="40" spans="1:11" x14ac:dyDescent="0.2">
      <c r="A40" s="305"/>
      <c r="B40" s="305"/>
      <c r="C40" s="305"/>
      <c r="D40" s="305"/>
      <c r="E40" s="305"/>
      <c r="F40" s="305"/>
      <c r="G40" s="305"/>
      <c r="H40" s="305"/>
      <c r="I40" s="305"/>
      <c r="J40" s="305"/>
      <c r="K40" s="305"/>
    </row>
    <row r="41" spans="1:11" x14ac:dyDescent="0.2">
      <c r="A41" s="305"/>
      <c r="B41" s="305"/>
      <c r="C41" s="305"/>
      <c r="D41" s="305"/>
      <c r="E41" s="305"/>
      <c r="F41" s="305"/>
      <c r="G41" s="305"/>
      <c r="H41" s="305"/>
      <c r="I41" s="305"/>
      <c r="J41" s="305"/>
      <c r="K41" s="305"/>
    </row>
    <row r="42" spans="1:11" x14ac:dyDescent="0.2">
      <c r="A42" s="305"/>
      <c r="B42" s="305"/>
      <c r="C42" s="305"/>
      <c r="D42" s="305"/>
      <c r="E42" s="305"/>
      <c r="F42" s="305"/>
      <c r="G42" s="305"/>
      <c r="H42" s="305"/>
      <c r="I42" s="305"/>
      <c r="J42" s="305"/>
      <c r="K42" s="305"/>
    </row>
    <row r="43" spans="1:11" x14ac:dyDescent="0.2">
      <c r="A43" s="305"/>
      <c r="B43" s="305"/>
      <c r="C43" s="305"/>
      <c r="D43" s="305"/>
      <c r="E43" s="305"/>
      <c r="F43" s="305"/>
      <c r="G43" s="305"/>
      <c r="H43" s="305"/>
      <c r="I43" s="305"/>
      <c r="J43" s="305"/>
      <c r="K43" s="305"/>
    </row>
    <row r="44" spans="1:11" x14ac:dyDescent="0.2">
      <c r="A44" s="305"/>
      <c r="B44" s="305"/>
      <c r="C44" s="305"/>
      <c r="D44" s="305"/>
      <c r="E44" s="305"/>
      <c r="F44" s="305"/>
      <c r="G44" s="305"/>
      <c r="H44" s="305"/>
      <c r="I44" s="305"/>
      <c r="J44" s="305"/>
      <c r="K44" s="305"/>
    </row>
    <row r="45" spans="1:11" x14ac:dyDescent="0.2">
      <c r="A45" s="305"/>
      <c r="B45" s="305"/>
      <c r="C45" s="305"/>
      <c r="D45" s="305"/>
      <c r="E45" s="305"/>
      <c r="F45" s="305"/>
      <c r="G45" s="305"/>
      <c r="H45" s="305"/>
      <c r="I45" s="305"/>
      <c r="J45" s="305"/>
      <c r="K45" s="305"/>
    </row>
    <row r="46" spans="1:11" x14ac:dyDescent="0.2">
      <c r="A46" s="305"/>
      <c r="B46" s="305"/>
      <c r="C46" s="305"/>
      <c r="D46" s="305"/>
      <c r="E46" s="305"/>
      <c r="F46" s="305"/>
      <c r="G46" s="305"/>
      <c r="H46" s="305"/>
      <c r="I46" s="305"/>
      <c r="J46" s="305"/>
      <c r="K46" s="305"/>
    </row>
    <row r="47" spans="1:11" x14ac:dyDescent="0.2">
      <c r="A47" s="305"/>
      <c r="B47" s="305"/>
      <c r="C47" s="305"/>
      <c r="D47" s="305"/>
      <c r="E47" s="305"/>
      <c r="F47" s="305"/>
      <c r="G47" s="305"/>
      <c r="H47" s="305"/>
      <c r="I47" s="305"/>
      <c r="J47" s="305"/>
      <c r="K47" s="305"/>
    </row>
    <row r="48" spans="1:11" x14ac:dyDescent="0.2">
      <c r="A48" s="305"/>
      <c r="B48" s="305"/>
      <c r="C48" s="305"/>
      <c r="D48" s="305"/>
      <c r="E48" s="305"/>
      <c r="F48" s="305"/>
      <c r="G48" s="305"/>
      <c r="H48" s="305"/>
      <c r="I48" s="305"/>
      <c r="J48" s="305"/>
      <c r="K48" s="305"/>
    </row>
    <row r="49" spans="1:11" x14ac:dyDescent="0.2">
      <c r="A49" s="305"/>
      <c r="B49" s="305"/>
      <c r="C49" s="305"/>
      <c r="D49" s="305"/>
      <c r="E49" s="305"/>
      <c r="F49" s="305"/>
      <c r="G49" s="305"/>
      <c r="H49" s="305"/>
      <c r="I49" s="305"/>
      <c r="J49" s="305"/>
      <c r="K49" s="305"/>
    </row>
    <row r="50" spans="1:11" x14ac:dyDescent="0.2">
      <c r="A50" s="305"/>
      <c r="B50" s="305"/>
      <c r="C50" s="305"/>
      <c r="D50" s="305"/>
      <c r="E50" s="305"/>
      <c r="F50" s="305"/>
      <c r="G50" s="305"/>
      <c r="H50" s="305"/>
      <c r="I50" s="305"/>
      <c r="J50" s="305"/>
      <c r="K50" s="305"/>
    </row>
    <row r="51" spans="1:11" x14ac:dyDescent="0.2">
      <c r="A51" s="305"/>
      <c r="B51" s="305"/>
      <c r="C51" s="305"/>
      <c r="D51" s="305"/>
      <c r="E51" s="305"/>
      <c r="F51" s="305"/>
      <c r="G51" s="305"/>
      <c r="H51" s="305"/>
      <c r="I51" s="305"/>
      <c r="J51" s="305"/>
      <c r="K51" s="305"/>
    </row>
    <row r="52" spans="1:11" x14ac:dyDescent="0.2">
      <c r="A52" s="305"/>
      <c r="B52" s="305"/>
      <c r="C52" s="305"/>
      <c r="D52" s="305"/>
      <c r="E52" s="305"/>
      <c r="F52" s="305"/>
      <c r="G52" s="305"/>
      <c r="H52" s="305"/>
      <c r="I52" s="305"/>
      <c r="J52" s="305"/>
      <c r="K52" s="305"/>
    </row>
    <row r="53" spans="1:11" x14ac:dyDescent="0.2">
      <c r="A53" s="305"/>
      <c r="B53" s="305"/>
      <c r="C53" s="305"/>
      <c r="D53" s="305"/>
      <c r="E53" s="305"/>
      <c r="F53" s="305"/>
      <c r="G53" s="305"/>
      <c r="H53" s="305"/>
      <c r="I53" s="305"/>
      <c r="J53" s="305"/>
      <c r="K53" s="305"/>
    </row>
    <row r="54" spans="1:11" x14ac:dyDescent="0.2">
      <c r="A54" s="305"/>
      <c r="B54" s="305"/>
      <c r="C54" s="305"/>
      <c r="D54" s="305"/>
      <c r="E54" s="305"/>
      <c r="F54" s="305"/>
      <c r="G54" s="305"/>
      <c r="H54" s="305"/>
      <c r="I54" s="305"/>
      <c r="J54" s="305"/>
      <c r="K54" s="305"/>
    </row>
    <row r="55" spans="1:11" x14ac:dyDescent="0.2">
      <c r="A55" s="305"/>
      <c r="B55" s="305"/>
      <c r="C55" s="305"/>
      <c r="D55" s="305"/>
      <c r="E55" s="305"/>
      <c r="F55" s="305"/>
      <c r="G55" s="305"/>
      <c r="H55" s="305"/>
      <c r="I55" s="305"/>
      <c r="J55" s="305"/>
      <c r="K55" s="305"/>
    </row>
    <row r="56" spans="1:11" x14ac:dyDescent="0.2">
      <c r="A56" s="305"/>
      <c r="B56" s="305"/>
      <c r="C56" s="305"/>
      <c r="D56" s="305"/>
      <c r="E56" s="305"/>
      <c r="F56" s="305"/>
      <c r="G56" s="305"/>
      <c r="H56" s="305"/>
      <c r="I56" s="305"/>
      <c r="J56" s="305"/>
      <c r="K56" s="305"/>
    </row>
    <row r="57" spans="1:11" x14ac:dyDescent="0.2">
      <c r="A57" s="305"/>
      <c r="B57" s="305"/>
      <c r="C57" s="305"/>
      <c r="D57" s="305"/>
      <c r="E57" s="305"/>
      <c r="F57" s="305"/>
      <c r="G57" s="305"/>
      <c r="H57" s="305"/>
      <c r="I57" s="305"/>
      <c r="J57" s="305"/>
      <c r="K57" s="305"/>
    </row>
    <row r="58" spans="1:11" x14ac:dyDescent="0.2">
      <c r="A58" s="305"/>
      <c r="B58" s="305"/>
      <c r="C58" s="305"/>
      <c r="D58" s="305"/>
      <c r="E58" s="305"/>
      <c r="F58" s="305"/>
      <c r="G58" s="305"/>
      <c r="H58" s="305"/>
      <c r="I58" s="305"/>
      <c r="J58" s="305"/>
      <c r="K58" s="305"/>
    </row>
    <row r="59" spans="1:11" x14ac:dyDescent="0.2">
      <c r="A59" s="305"/>
      <c r="B59" s="305"/>
      <c r="C59" s="305"/>
      <c r="D59" s="305"/>
      <c r="E59" s="305"/>
      <c r="F59" s="305"/>
      <c r="G59" s="305"/>
      <c r="H59" s="305"/>
      <c r="I59" s="305"/>
      <c r="J59" s="305"/>
      <c r="K59" s="305"/>
    </row>
    <row r="60" spans="1:11" x14ac:dyDescent="0.2">
      <c r="A60" s="305"/>
      <c r="B60" s="305"/>
      <c r="C60" s="305"/>
      <c r="D60" s="305"/>
      <c r="E60" s="305"/>
      <c r="F60" s="305"/>
      <c r="G60" s="305"/>
      <c r="H60" s="305"/>
      <c r="I60" s="305"/>
      <c r="J60" s="305"/>
      <c r="K60" s="305"/>
    </row>
    <row r="61" spans="1:11" x14ac:dyDescent="0.2">
      <c r="A61" s="305"/>
      <c r="B61" s="305"/>
      <c r="C61" s="305"/>
      <c r="D61" s="305"/>
      <c r="E61" s="305"/>
      <c r="F61" s="305"/>
      <c r="G61" s="305"/>
      <c r="H61" s="305"/>
      <c r="I61" s="305"/>
      <c r="J61" s="305"/>
      <c r="K61" s="305"/>
    </row>
    <row r="62" spans="1:11" x14ac:dyDescent="0.2">
      <c r="A62" s="305"/>
      <c r="B62" s="305"/>
      <c r="C62" s="305"/>
      <c r="D62" s="305"/>
      <c r="E62" s="305"/>
      <c r="F62" s="305"/>
      <c r="G62" s="305"/>
      <c r="H62" s="305"/>
      <c r="I62" s="305"/>
      <c r="J62" s="305"/>
      <c r="K62" s="305"/>
    </row>
    <row r="63" spans="1:11" x14ac:dyDescent="0.2">
      <c r="A63" s="305"/>
      <c r="B63" s="305"/>
      <c r="C63" s="305"/>
      <c r="D63" s="305"/>
      <c r="E63" s="305"/>
      <c r="F63" s="305"/>
      <c r="G63" s="305"/>
      <c r="H63" s="305"/>
      <c r="I63" s="305"/>
      <c r="J63" s="305"/>
      <c r="K63" s="305"/>
    </row>
    <row r="64" spans="1:11" x14ac:dyDescent="0.2">
      <c r="A64" s="305"/>
      <c r="B64" s="305"/>
      <c r="C64" s="305"/>
      <c r="D64" s="305"/>
      <c r="E64" s="305"/>
      <c r="F64" s="305"/>
      <c r="G64" s="305"/>
      <c r="H64" s="305"/>
      <c r="I64" s="305"/>
      <c r="J64" s="305"/>
      <c r="K64" s="305"/>
    </row>
    <row r="65" spans="1:11" x14ac:dyDescent="0.2">
      <c r="A65" s="305"/>
      <c r="B65" s="305"/>
      <c r="C65" s="305"/>
      <c r="D65" s="305"/>
      <c r="E65" s="305"/>
      <c r="F65" s="305"/>
      <c r="G65" s="305"/>
      <c r="H65" s="305"/>
      <c r="I65" s="305"/>
      <c r="J65" s="305"/>
      <c r="K65" s="305"/>
    </row>
    <row r="66" spans="1:11" x14ac:dyDescent="0.2">
      <c r="A66" s="305"/>
      <c r="B66" s="305"/>
      <c r="C66" s="305"/>
      <c r="D66" s="305"/>
      <c r="E66" s="305"/>
      <c r="F66" s="305"/>
      <c r="G66" s="305"/>
      <c r="H66" s="305"/>
      <c r="I66" s="305"/>
      <c r="J66" s="305"/>
      <c r="K66" s="305"/>
    </row>
    <row r="67" spans="1:11" x14ac:dyDescent="0.2">
      <c r="A67" s="305"/>
      <c r="B67" s="305"/>
      <c r="C67" s="305"/>
      <c r="D67" s="305"/>
      <c r="E67" s="305"/>
      <c r="F67" s="305"/>
      <c r="G67" s="305"/>
      <c r="H67" s="305"/>
      <c r="I67" s="305"/>
      <c r="J67" s="305"/>
      <c r="K67" s="305"/>
    </row>
    <row r="68" spans="1:11" x14ac:dyDescent="0.2">
      <c r="A68" s="305"/>
      <c r="B68" s="305"/>
      <c r="C68" s="305"/>
      <c r="D68" s="305"/>
      <c r="E68" s="305"/>
      <c r="F68" s="305"/>
      <c r="G68" s="305"/>
      <c r="H68" s="305"/>
      <c r="I68" s="305"/>
      <c r="J68" s="305"/>
      <c r="K68" s="305"/>
    </row>
    <row r="69" spans="1:11" x14ac:dyDescent="0.2">
      <c r="A69" s="305"/>
      <c r="B69" s="305"/>
      <c r="C69" s="305"/>
      <c r="D69" s="305"/>
      <c r="E69" s="305"/>
      <c r="F69" s="305"/>
      <c r="G69" s="305"/>
      <c r="H69" s="305"/>
      <c r="I69" s="305"/>
      <c r="J69" s="305"/>
      <c r="K69" s="305"/>
    </row>
    <row r="70" spans="1:11" x14ac:dyDescent="0.2">
      <c r="A70" s="305"/>
      <c r="B70" s="305"/>
      <c r="C70" s="305"/>
      <c r="D70" s="305"/>
      <c r="E70" s="305"/>
      <c r="F70" s="305"/>
      <c r="G70" s="305"/>
      <c r="H70" s="305"/>
      <c r="I70" s="305"/>
      <c r="J70" s="305"/>
      <c r="K70" s="305"/>
    </row>
    <row r="71" spans="1:11" x14ac:dyDescent="0.2">
      <c r="A71" s="305"/>
      <c r="B71" s="305"/>
      <c r="C71" s="305"/>
      <c r="D71" s="305"/>
      <c r="E71" s="305"/>
      <c r="F71" s="305"/>
      <c r="G71" s="305"/>
      <c r="H71" s="305"/>
      <c r="I71" s="305"/>
      <c r="J71" s="305"/>
      <c r="K71" s="305"/>
    </row>
    <row r="72" spans="1:11" x14ac:dyDescent="0.2">
      <c r="A72" s="305"/>
      <c r="B72" s="305"/>
      <c r="C72" s="305"/>
      <c r="D72" s="305"/>
      <c r="E72" s="305"/>
      <c r="F72" s="305"/>
      <c r="G72" s="305"/>
      <c r="H72" s="305"/>
      <c r="I72" s="305"/>
      <c r="J72" s="305"/>
      <c r="K72" s="305"/>
    </row>
    <row r="73" spans="1:11" x14ac:dyDescent="0.2">
      <c r="A73" s="305"/>
      <c r="B73" s="305"/>
      <c r="C73" s="305"/>
      <c r="D73" s="305"/>
      <c r="E73" s="305"/>
      <c r="F73" s="305"/>
      <c r="G73" s="305"/>
      <c r="H73" s="305"/>
      <c r="I73" s="305"/>
      <c r="J73" s="305"/>
      <c r="K73" s="305"/>
    </row>
    <row r="74" spans="1:11" x14ac:dyDescent="0.2">
      <c r="A74" s="305"/>
      <c r="B74" s="305"/>
      <c r="C74" s="305"/>
      <c r="D74" s="305"/>
      <c r="E74" s="305"/>
      <c r="F74" s="305"/>
      <c r="G74" s="305"/>
      <c r="H74" s="305"/>
      <c r="I74" s="305"/>
      <c r="J74" s="305"/>
      <c r="K74" s="305"/>
    </row>
    <row r="75" spans="1:11" x14ac:dyDescent="0.2">
      <c r="A75" s="305"/>
      <c r="B75" s="305"/>
      <c r="C75" s="305"/>
      <c r="D75" s="305"/>
      <c r="E75" s="305"/>
      <c r="F75" s="305"/>
      <c r="G75" s="305"/>
      <c r="H75" s="305"/>
      <c r="I75" s="305"/>
      <c r="J75" s="305"/>
      <c r="K75" s="305"/>
    </row>
    <row r="76" spans="1:11" x14ac:dyDescent="0.2">
      <c r="A76" s="305"/>
      <c r="B76" s="305"/>
      <c r="C76" s="305"/>
      <c r="D76" s="305"/>
      <c r="E76" s="305"/>
      <c r="F76" s="305"/>
      <c r="G76" s="305"/>
      <c r="H76" s="305"/>
      <c r="I76" s="305"/>
      <c r="J76" s="305"/>
      <c r="K76" s="305"/>
    </row>
    <row r="77" spans="1:11" x14ac:dyDescent="0.2">
      <c r="A77" s="305"/>
      <c r="B77" s="305"/>
      <c r="C77" s="305"/>
      <c r="D77" s="305"/>
      <c r="E77" s="305"/>
      <c r="F77" s="305"/>
      <c r="G77" s="305"/>
      <c r="H77" s="305"/>
      <c r="I77" s="305"/>
      <c r="J77" s="305"/>
      <c r="K77" s="305"/>
    </row>
    <row r="78" spans="1:11" x14ac:dyDescent="0.2">
      <c r="A78" s="305"/>
      <c r="B78" s="305"/>
      <c r="C78" s="305"/>
      <c r="D78" s="305"/>
      <c r="E78" s="305"/>
      <c r="F78" s="305"/>
      <c r="G78" s="305"/>
      <c r="H78" s="305"/>
      <c r="I78" s="305"/>
      <c r="J78" s="305"/>
      <c r="K78" s="305"/>
    </row>
    <row r="79" spans="1:11" x14ac:dyDescent="0.2">
      <c r="A79" s="305"/>
      <c r="B79" s="305"/>
      <c r="C79" s="305"/>
      <c r="D79" s="305"/>
      <c r="E79" s="305"/>
      <c r="F79" s="305"/>
      <c r="G79" s="305"/>
      <c r="H79" s="305"/>
      <c r="I79" s="305"/>
      <c r="J79" s="305"/>
      <c r="K79" s="305"/>
    </row>
    <row r="80" spans="1:11" x14ac:dyDescent="0.2">
      <c r="A80" s="305"/>
      <c r="B80" s="305"/>
      <c r="C80" s="305"/>
      <c r="D80" s="305"/>
      <c r="E80" s="305"/>
      <c r="F80" s="305"/>
      <c r="G80" s="305"/>
      <c r="H80" s="305"/>
      <c r="I80" s="305"/>
      <c r="J80" s="305"/>
      <c r="K80" s="305"/>
    </row>
    <row r="81" spans="1:11" x14ac:dyDescent="0.2">
      <c r="A81" s="305"/>
      <c r="B81" s="305"/>
      <c r="C81" s="305"/>
      <c r="D81" s="305"/>
      <c r="E81" s="305"/>
      <c r="F81" s="305"/>
      <c r="G81" s="305"/>
      <c r="H81" s="305"/>
      <c r="I81" s="305"/>
      <c r="J81" s="305"/>
      <c r="K81" s="305"/>
    </row>
    <row r="82" spans="1:11" x14ac:dyDescent="0.2">
      <c r="A82" s="305"/>
      <c r="B82" s="305"/>
      <c r="C82" s="305"/>
      <c r="D82" s="305"/>
      <c r="E82" s="305"/>
      <c r="F82" s="305"/>
      <c r="G82" s="305"/>
      <c r="H82" s="305"/>
      <c r="I82" s="305"/>
      <c r="J82" s="305"/>
      <c r="K82" s="305"/>
    </row>
    <row r="83" spans="1:11" x14ac:dyDescent="0.2">
      <c r="A83" s="305"/>
      <c r="B83" s="305"/>
      <c r="C83" s="305"/>
      <c r="D83" s="305"/>
      <c r="E83" s="305"/>
      <c r="F83" s="305"/>
      <c r="G83" s="305"/>
      <c r="H83" s="305"/>
      <c r="I83" s="305"/>
      <c r="J83" s="305"/>
      <c r="K83" s="305"/>
    </row>
    <row r="84" spans="1:11" x14ac:dyDescent="0.2">
      <c r="A84" s="305"/>
      <c r="B84" s="305"/>
      <c r="C84" s="305"/>
      <c r="D84" s="305"/>
      <c r="E84" s="305"/>
      <c r="F84" s="305"/>
      <c r="G84" s="305"/>
      <c r="H84" s="305"/>
      <c r="I84" s="305"/>
      <c r="J84" s="305"/>
      <c r="K84" s="305"/>
    </row>
    <row r="85" spans="1:11" x14ac:dyDescent="0.2">
      <c r="A85" s="305"/>
      <c r="B85" s="305"/>
      <c r="C85" s="305"/>
      <c r="D85" s="305"/>
      <c r="E85" s="305"/>
      <c r="F85" s="305"/>
      <c r="G85" s="305"/>
      <c r="H85" s="305"/>
      <c r="I85" s="305"/>
      <c r="J85" s="305"/>
      <c r="K85" s="305"/>
    </row>
    <row r="86" spans="1:11" x14ac:dyDescent="0.2">
      <c r="A86" s="305"/>
      <c r="B86" s="305"/>
      <c r="C86" s="305"/>
      <c r="D86" s="305"/>
      <c r="E86" s="305"/>
      <c r="F86" s="305"/>
      <c r="G86" s="305"/>
      <c r="H86" s="305"/>
      <c r="I86" s="305"/>
      <c r="J86" s="305"/>
      <c r="K86" s="305"/>
    </row>
    <row r="87" spans="1:11" x14ac:dyDescent="0.2">
      <c r="A87" s="305"/>
      <c r="B87" s="305"/>
      <c r="C87" s="305"/>
      <c r="D87" s="305"/>
      <c r="E87" s="305"/>
      <c r="F87" s="305"/>
      <c r="G87" s="305"/>
      <c r="H87" s="305"/>
      <c r="I87" s="305"/>
      <c r="J87" s="305"/>
      <c r="K87" s="305"/>
    </row>
    <row r="88" spans="1:11" x14ac:dyDescent="0.2">
      <c r="A88" s="305"/>
      <c r="B88" s="305"/>
      <c r="C88" s="305"/>
      <c r="D88" s="305"/>
      <c r="E88" s="305"/>
      <c r="F88" s="305"/>
      <c r="G88" s="305"/>
      <c r="H88" s="305"/>
      <c r="I88" s="305"/>
      <c r="J88" s="305"/>
      <c r="K88" s="305"/>
    </row>
    <row r="89" spans="1:11" x14ac:dyDescent="0.2">
      <c r="A89" s="305"/>
      <c r="B89" s="305"/>
      <c r="C89" s="305"/>
      <c r="D89" s="305"/>
      <c r="E89" s="305"/>
      <c r="F89" s="305"/>
      <c r="G89" s="305"/>
      <c r="H89" s="305"/>
      <c r="I89" s="305"/>
      <c r="J89" s="305"/>
      <c r="K89" s="305"/>
    </row>
    <row r="90" spans="1:11" x14ac:dyDescent="0.2">
      <c r="A90" s="305"/>
      <c r="B90" s="305"/>
      <c r="C90" s="305"/>
      <c r="D90" s="305"/>
      <c r="E90" s="305"/>
      <c r="F90" s="305"/>
      <c r="G90" s="305"/>
      <c r="H90" s="305"/>
      <c r="I90" s="305"/>
      <c r="J90" s="305"/>
      <c r="K90" s="305"/>
    </row>
    <row r="91" spans="1:11" x14ac:dyDescent="0.2">
      <c r="A91" s="305"/>
      <c r="B91" s="305"/>
      <c r="C91" s="305"/>
      <c r="D91" s="305"/>
      <c r="E91" s="305"/>
      <c r="F91" s="305"/>
      <c r="G91" s="305"/>
      <c r="H91" s="305"/>
      <c r="I91" s="305"/>
      <c r="J91" s="305"/>
      <c r="K91" s="305"/>
    </row>
    <row r="92" spans="1:11" x14ac:dyDescent="0.2">
      <c r="A92" s="305"/>
      <c r="B92" s="305"/>
      <c r="C92" s="305"/>
      <c r="D92" s="305"/>
      <c r="E92" s="305"/>
      <c r="F92" s="305"/>
      <c r="G92" s="305"/>
      <c r="H92" s="305"/>
      <c r="I92" s="305"/>
      <c r="J92" s="305"/>
      <c r="K92" s="305"/>
    </row>
    <row r="93" spans="1:11" x14ac:dyDescent="0.2">
      <c r="A93" s="305"/>
      <c r="B93" s="305"/>
      <c r="C93" s="305"/>
      <c r="D93" s="305"/>
      <c r="E93" s="305"/>
      <c r="F93" s="305"/>
      <c r="G93" s="305"/>
      <c r="H93" s="305"/>
      <c r="I93" s="305"/>
      <c r="J93" s="305"/>
      <c r="K93" s="305"/>
    </row>
    <row r="94" spans="1:11" x14ac:dyDescent="0.2">
      <c r="A94" s="305"/>
      <c r="B94" s="305"/>
      <c r="C94" s="305"/>
      <c r="D94" s="305"/>
      <c r="E94" s="305"/>
      <c r="F94" s="305"/>
      <c r="G94" s="305"/>
      <c r="H94" s="305"/>
      <c r="I94" s="305"/>
      <c r="J94" s="305"/>
      <c r="K94" s="305"/>
    </row>
    <row r="95" spans="1:11" x14ac:dyDescent="0.2">
      <c r="A95" s="305"/>
      <c r="B95" s="305"/>
      <c r="C95" s="305"/>
      <c r="D95" s="305"/>
      <c r="E95" s="305"/>
      <c r="F95" s="305"/>
      <c r="G95" s="305"/>
      <c r="H95" s="305"/>
      <c r="I95" s="305"/>
      <c r="J95" s="305"/>
      <c r="K95" s="305"/>
    </row>
    <row r="96" spans="1:11" x14ac:dyDescent="0.2">
      <c r="A96" s="305"/>
      <c r="B96" s="305"/>
      <c r="C96" s="305"/>
      <c r="D96" s="305"/>
      <c r="E96" s="305"/>
      <c r="F96" s="305"/>
      <c r="G96" s="305"/>
      <c r="H96" s="305"/>
      <c r="I96" s="305"/>
      <c r="J96" s="305"/>
      <c r="K96" s="305"/>
    </row>
    <row r="97" spans="1:11" x14ac:dyDescent="0.2">
      <c r="A97" s="305"/>
      <c r="B97" s="305"/>
      <c r="C97" s="305"/>
      <c r="D97" s="305"/>
      <c r="E97" s="305"/>
      <c r="F97" s="305"/>
      <c r="G97" s="305"/>
      <c r="H97" s="305"/>
      <c r="I97" s="305"/>
      <c r="J97" s="305"/>
      <c r="K97" s="305"/>
    </row>
    <row r="98" spans="1:11" x14ac:dyDescent="0.2">
      <c r="A98" s="305"/>
      <c r="B98" s="305"/>
      <c r="C98" s="305"/>
      <c r="D98" s="305"/>
      <c r="E98" s="305"/>
      <c r="F98" s="305"/>
      <c r="G98" s="305"/>
      <c r="H98" s="305"/>
      <c r="I98" s="305"/>
      <c r="J98" s="305"/>
      <c r="K98" s="305"/>
    </row>
    <row r="99" spans="1:11" x14ac:dyDescent="0.2">
      <c r="A99" s="305"/>
      <c r="B99" s="305"/>
      <c r="C99" s="305"/>
      <c r="D99" s="305"/>
      <c r="E99" s="305"/>
      <c r="F99" s="305"/>
      <c r="G99" s="305"/>
      <c r="H99" s="305"/>
      <c r="I99" s="305"/>
      <c r="J99" s="305"/>
      <c r="K99" s="305"/>
    </row>
    <row r="100" spans="1:11" x14ac:dyDescent="0.2">
      <c r="A100" s="305"/>
      <c r="B100" s="305"/>
      <c r="C100" s="305"/>
      <c r="D100" s="305"/>
      <c r="E100" s="305"/>
      <c r="F100" s="305"/>
      <c r="G100" s="305"/>
      <c r="H100" s="305"/>
      <c r="I100" s="305"/>
      <c r="J100" s="305"/>
      <c r="K100" s="305"/>
    </row>
    <row r="101" spans="1:11" x14ac:dyDescent="0.2">
      <c r="A101" s="305"/>
      <c r="B101" s="305"/>
      <c r="C101" s="305"/>
      <c r="D101" s="305"/>
      <c r="E101" s="305"/>
      <c r="F101" s="305"/>
      <c r="G101" s="305"/>
      <c r="H101" s="305"/>
      <c r="I101" s="305"/>
      <c r="J101" s="305"/>
      <c r="K101" s="305"/>
    </row>
    <row r="102" spans="1:11" x14ac:dyDescent="0.2">
      <c r="A102" s="305"/>
      <c r="B102" s="305"/>
      <c r="C102" s="305"/>
      <c r="D102" s="305"/>
      <c r="E102" s="305"/>
      <c r="F102" s="305"/>
      <c r="G102" s="305"/>
      <c r="H102" s="305"/>
      <c r="I102" s="305"/>
      <c r="J102" s="305"/>
      <c r="K102" s="305"/>
    </row>
    <row r="103" spans="1:11" x14ac:dyDescent="0.2">
      <c r="A103" s="305"/>
      <c r="B103" s="305"/>
      <c r="C103" s="305"/>
      <c r="D103" s="305"/>
      <c r="E103" s="305"/>
      <c r="F103" s="305"/>
      <c r="G103" s="305"/>
      <c r="H103" s="305"/>
      <c r="I103" s="305"/>
      <c r="J103" s="305"/>
      <c r="K103" s="305"/>
    </row>
    <row r="104" spans="1:11" x14ac:dyDescent="0.2">
      <c r="A104" s="305"/>
      <c r="B104" s="305"/>
      <c r="C104" s="305"/>
      <c r="D104" s="305"/>
      <c r="E104" s="305"/>
      <c r="F104" s="305"/>
      <c r="G104" s="305"/>
      <c r="H104" s="305"/>
      <c r="I104" s="305"/>
      <c r="J104" s="305"/>
      <c r="K104" s="305"/>
    </row>
    <row r="105" spans="1:11" x14ac:dyDescent="0.2">
      <c r="A105" s="305"/>
      <c r="B105" s="305"/>
      <c r="C105" s="305"/>
      <c r="D105" s="305"/>
      <c r="E105" s="305"/>
      <c r="F105" s="305"/>
      <c r="G105" s="305"/>
      <c r="H105" s="305"/>
      <c r="I105" s="305"/>
      <c r="J105" s="305"/>
      <c r="K105" s="305"/>
    </row>
    <row r="106" spans="1:11" x14ac:dyDescent="0.2">
      <c r="A106" s="305"/>
      <c r="B106" s="305"/>
      <c r="C106" s="305"/>
      <c r="D106" s="305"/>
      <c r="E106" s="305"/>
      <c r="F106" s="305"/>
      <c r="G106" s="305"/>
      <c r="H106" s="305"/>
      <c r="I106" s="305"/>
      <c r="J106" s="305"/>
      <c r="K106" s="305"/>
    </row>
    <row r="107" spans="1:11" x14ac:dyDescent="0.2">
      <c r="A107" s="305"/>
      <c r="B107" s="305"/>
      <c r="C107" s="305"/>
      <c r="D107" s="305"/>
      <c r="E107" s="305"/>
      <c r="F107" s="305"/>
      <c r="G107" s="305"/>
      <c r="H107" s="305"/>
      <c r="I107" s="305"/>
      <c r="J107" s="305"/>
      <c r="K107" s="305"/>
    </row>
    <row r="108" spans="1:11" x14ac:dyDescent="0.2">
      <c r="A108" s="305"/>
      <c r="B108" s="305"/>
      <c r="C108" s="305"/>
      <c r="D108" s="305"/>
      <c r="E108" s="305"/>
      <c r="F108" s="305"/>
      <c r="G108" s="305"/>
      <c r="H108" s="305"/>
      <c r="I108" s="305"/>
      <c r="J108" s="305"/>
      <c r="K108" s="305"/>
    </row>
    <row r="109" spans="1:11" x14ac:dyDescent="0.2">
      <c r="A109" s="305"/>
      <c r="B109" s="305"/>
      <c r="C109" s="305"/>
      <c r="D109" s="305"/>
      <c r="E109" s="305"/>
      <c r="F109" s="305"/>
      <c r="G109" s="305"/>
      <c r="H109" s="305"/>
      <c r="I109" s="305"/>
      <c r="J109" s="305"/>
      <c r="K109" s="305"/>
    </row>
    <row r="110" spans="1:11" x14ac:dyDescent="0.2">
      <c r="A110" s="305"/>
      <c r="B110" s="305"/>
      <c r="C110" s="305"/>
      <c r="D110" s="305"/>
      <c r="E110" s="305"/>
      <c r="F110" s="305"/>
      <c r="G110" s="305"/>
      <c r="H110" s="305"/>
      <c r="I110" s="305"/>
      <c r="J110" s="305"/>
      <c r="K110" s="305"/>
    </row>
    <row r="111" spans="1:11" x14ac:dyDescent="0.2">
      <c r="A111" s="305"/>
      <c r="B111" s="305"/>
      <c r="C111" s="305"/>
      <c r="D111" s="305"/>
      <c r="E111" s="305"/>
      <c r="F111" s="305"/>
      <c r="G111" s="305"/>
      <c r="H111" s="305"/>
      <c r="I111" s="305"/>
      <c r="J111" s="305"/>
      <c r="K111" s="305"/>
    </row>
    <row r="112" spans="1:11" x14ac:dyDescent="0.2">
      <c r="A112" s="305"/>
      <c r="B112" s="305"/>
      <c r="C112" s="305"/>
      <c r="D112" s="305"/>
      <c r="E112" s="305"/>
      <c r="F112" s="305"/>
      <c r="G112" s="305"/>
      <c r="H112" s="305"/>
      <c r="I112" s="305"/>
      <c r="J112" s="305"/>
      <c r="K112" s="305"/>
    </row>
    <row r="113" spans="1:11" x14ac:dyDescent="0.2">
      <c r="A113" s="305"/>
      <c r="B113" s="305"/>
      <c r="C113" s="305"/>
      <c r="D113" s="305"/>
      <c r="E113" s="305"/>
      <c r="F113" s="305"/>
      <c r="G113" s="305"/>
      <c r="H113" s="305"/>
      <c r="I113" s="305"/>
      <c r="J113" s="305"/>
      <c r="K113" s="305"/>
    </row>
    <row r="114" spans="1:11" x14ac:dyDescent="0.2">
      <c r="A114" s="305"/>
      <c r="B114" s="305"/>
      <c r="C114" s="305"/>
      <c r="D114" s="305"/>
      <c r="E114" s="305"/>
      <c r="F114" s="305"/>
      <c r="G114" s="305"/>
      <c r="H114" s="305"/>
      <c r="I114" s="305"/>
      <c r="J114" s="305"/>
      <c r="K114" s="305"/>
    </row>
    <row r="115" spans="1:11" x14ac:dyDescent="0.2">
      <c r="A115" s="305"/>
      <c r="B115" s="305"/>
      <c r="C115" s="305"/>
      <c r="D115" s="305"/>
      <c r="E115" s="305"/>
      <c r="F115" s="305"/>
      <c r="G115" s="305"/>
      <c r="H115" s="305"/>
      <c r="I115" s="305"/>
      <c r="J115" s="305"/>
      <c r="K115" s="305"/>
    </row>
    <row r="116" spans="1:11" x14ac:dyDescent="0.2">
      <c r="A116" s="305"/>
      <c r="B116" s="305"/>
      <c r="C116" s="305"/>
      <c r="D116" s="305"/>
      <c r="E116" s="305"/>
      <c r="F116" s="305"/>
      <c r="G116" s="305"/>
      <c r="H116" s="305"/>
      <c r="I116" s="305"/>
      <c r="J116" s="305"/>
      <c r="K116" s="305"/>
    </row>
    <row r="117" spans="1:11" x14ac:dyDescent="0.2">
      <c r="A117" s="305"/>
      <c r="B117" s="305"/>
      <c r="C117" s="305"/>
      <c r="D117" s="305"/>
      <c r="E117" s="305"/>
      <c r="F117" s="305"/>
      <c r="G117" s="305"/>
      <c r="H117" s="305"/>
      <c r="I117" s="305"/>
      <c r="J117" s="305"/>
      <c r="K117" s="305"/>
    </row>
    <row r="118" spans="1:11" x14ac:dyDescent="0.2">
      <c r="A118" s="305"/>
      <c r="B118" s="305"/>
      <c r="C118" s="305"/>
      <c r="D118" s="305"/>
      <c r="E118" s="305"/>
      <c r="F118" s="305"/>
      <c r="G118" s="305"/>
      <c r="H118" s="305"/>
      <c r="I118" s="305"/>
      <c r="J118" s="305"/>
      <c r="K118" s="305"/>
    </row>
    <row r="119" spans="1:11" x14ac:dyDescent="0.2">
      <c r="A119" s="305"/>
      <c r="B119" s="305"/>
      <c r="C119" s="305"/>
      <c r="D119" s="305"/>
      <c r="E119" s="305"/>
      <c r="F119" s="305"/>
      <c r="G119" s="305"/>
      <c r="H119" s="305"/>
      <c r="I119" s="305"/>
      <c r="J119" s="305"/>
      <c r="K119" s="305"/>
    </row>
    <row r="120" spans="1:11" x14ac:dyDescent="0.2">
      <c r="A120" s="305"/>
      <c r="B120" s="305"/>
      <c r="C120" s="305"/>
      <c r="D120" s="305"/>
      <c r="E120" s="305"/>
      <c r="F120" s="305"/>
      <c r="G120" s="305"/>
      <c r="H120" s="305"/>
      <c r="I120" s="305"/>
      <c r="J120" s="305"/>
      <c r="K120" s="305"/>
    </row>
  </sheetData>
  <pageMargins left="0.25" right="0.25" top="0.75" bottom="0.75" header="0.3" footer="0.3"/>
  <pageSetup scale="79"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121"/>
  <sheetViews>
    <sheetView showGridLines="0" zoomScaleNormal="100" workbookViewId="0">
      <selection activeCell="I37" sqref="I37"/>
    </sheetView>
  </sheetViews>
  <sheetFormatPr defaultRowHeight="12.75" x14ac:dyDescent="0.2"/>
  <cols>
    <col min="1" max="2" width="9.140625" style="186"/>
    <col min="3" max="3" width="13.28515625" style="186" customWidth="1"/>
    <col min="4" max="5" width="11.5703125" style="186" customWidth="1"/>
    <col min="6" max="6" width="12.28515625" style="186" customWidth="1"/>
    <col min="7" max="7" width="9.7109375" style="186" customWidth="1"/>
    <col min="8" max="8" width="9.42578125" style="186" customWidth="1"/>
    <col min="9" max="9" width="9.28515625" style="186" customWidth="1"/>
    <col min="10" max="10" width="10" style="186" customWidth="1"/>
    <col min="11" max="11" width="9.7109375" style="186" customWidth="1"/>
    <col min="12" max="12" width="10.42578125" style="186" customWidth="1"/>
    <col min="13" max="16384" width="9.140625" style="186"/>
  </cols>
  <sheetData>
    <row r="1" spans="1:13" x14ac:dyDescent="0.2">
      <c r="A1" s="320" t="str">
        <f>"Commodity Pricing:  "&amp;TEXT(A7,"mmm-yy")&amp;" - "&amp;TEXT(A18,"mmm-yy")</f>
        <v>Commodity Pricing:  May-15 - Apr-16</v>
      </c>
      <c r="B1" s="319"/>
    </row>
    <row r="2" spans="1:13" ht="13.5" customHeight="1" x14ac:dyDescent="0.2">
      <c r="A2" s="318" t="str">
        <f>'WUTC_KENT_MF (2)'!A1</f>
        <v>Kent-Meridian Disposal</v>
      </c>
      <c r="B2" s="318"/>
    </row>
    <row r="3" spans="1:13" ht="13.5" customHeight="1" x14ac:dyDescent="0.2">
      <c r="A3" s="318"/>
      <c r="B3" s="318"/>
    </row>
    <row r="4" spans="1:13" x14ac:dyDescent="0.2">
      <c r="B4" s="314"/>
      <c r="C4" s="316" t="s">
        <v>21</v>
      </c>
      <c r="D4" s="316" t="s">
        <v>22</v>
      </c>
      <c r="E4" s="316" t="s">
        <v>55</v>
      </c>
      <c r="F4" s="316" t="s">
        <v>23</v>
      </c>
      <c r="G4" s="316" t="s">
        <v>24</v>
      </c>
      <c r="H4" s="316" t="s">
        <v>25</v>
      </c>
      <c r="I4" s="316" t="s">
        <v>26</v>
      </c>
      <c r="J4" s="316" t="s">
        <v>27</v>
      </c>
      <c r="K4" s="316" t="s">
        <v>28</v>
      </c>
      <c r="L4" s="316" t="s">
        <v>29</v>
      </c>
      <c r="M4" s="316"/>
    </row>
    <row r="5" spans="1:13" x14ac:dyDescent="0.2">
      <c r="B5" s="314"/>
      <c r="C5" s="323">
        <v>69</v>
      </c>
      <c r="D5" s="323">
        <v>71</v>
      </c>
      <c r="E5" s="323">
        <v>72</v>
      </c>
      <c r="F5" s="323">
        <v>67</v>
      </c>
      <c r="G5" s="323">
        <v>64</v>
      </c>
      <c r="H5" s="323">
        <v>74</v>
      </c>
      <c r="I5" s="323">
        <v>68</v>
      </c>
      <c r="J5" s="323">
        <v>68</v>
      </c>
      <c r="K5" s="323">
        <v>65</v>
      </c>
      <c r="L5" s="323">
        <v>73</v>
      </c>
      <c r="M5" s="314"/>
    </row>
    <row r="6" spans="1:13" x14ac:dyDescent="0.2">
      <c r="B6" s="314"/>
      <c r="C6" s="314"/>
      <c r="D6" s="314"/>
      <c r="E6" s="314"/>
      <c r="F6" s="314"/>
      <c r="G6" s="314"/>
      <c r="H6" s="314"/>
      <c r="I6" s="314"/>
      <c r="J6" s="314"/>
      <c r="K6" s="314"/>
      <c r="L6" s="314"/>
      <c r="M6" s="314"/>
    </row>
    <row r="7" spans="1:13" x14ac:dyDescent="0.2">
      <c r="A7" s="313">
        <f>+'Commodity Tonnages MF'!A7</f>
        <v>42155</v>
      </c>
      <c r="B7" s="314"/>
      <c r="C7" s="307">
        <f>HLOOKUP($A7,'Multi_Family (2)'!$C$6:$N$79,C$5,FALSE)</f>
        <v>798</v>
      </c>
      <c r="D7" s="311">
        <f>HLOOKUP($A7,'Multi_Family (2)'!$C$6:$N$79,D$5,FALSE)</f>
        <v>-2.2000000000000002</v>
      </c>
      <c r="E7" s="311">
        <f>HLOOKUP($A7,'Multi_Family (2)'!$C$6:$N$79,E$5,FALSE)</f>
        <v>-120.17</v>
      </c>
      <c r="F7" s="307">
        <f>HLOOKUP($A7,'Multi_Family (2)'!$C$6:$N$79,F$5,FALSE)</f>
        <v>73.930000000000007</v>
      </c>
      <c r="G7" s="307">
        <f>HLOOKUP($A7,'Multi_Family (2)'!$C$6:$N$79,G$5,FALSE)</f>
        <v>72.25</v>
      </c>
      <c r="H7" s="307">
        <f>HLOOKUP($A7,'Multi_Family (2)'!$C$6:$N$79,H$5,FALSE)</f>
        <v>69.38</v>
      </c>
      <c r="I7" s="307">
        <f>HLOOKUP($A7,'Multi_Family (2)'!$C$6:$N$79,I$5,FALSE)</f>
        <v>133.80000000000001</v>
      </c>
      <c r="J7" s="307">
        <f>HLOOKUP($A7,'Multi_Family (2)'!$C$6:$N$79,J$5,FALSE)</f>
        <v>133.80000000000001</v>
      </c>
      <c r="K7" s="307">
        <f>HLOOKUP($A7,'Multi_Family (2)'!$C$6:$N$79,K$5,FALSE)</f>
        <v>87.8</v>
      </c>
      <c r="L7" s="311">
        <f>HLOOKUP($A7,'Multi_Family (2)'!$C$6:$N$79,L$5,FALSE)</f>
        <v>-120.17</v>
      </c>
      <c r="M7" s="314"/>
    </row>
    <row r="8" spans="1:13" x14ac:dyDescent="0.2">
      <c r="A8" s="313">
        <f>+'Commodity Tonnages MF'!A8</f>
        <v>42185</v>
      </c>
      <c r="B8" s="314"/>
      <c r="C8" s="307">
        <f>HLOOKUP($A8,'Multi_Family (2)'!$C$6:$N$79,C$5,FALSE)</f>
        <v>778.7</v>
      </c>
      <c r="D8" s="311">
        <f>HLOOKUP($A8,'Multi_Family (2)'!$C$6:$N$79,D$5,FALSE)</f>
        <v>-7.81</v>
      </c>
      <c r="E8" s="311">
        <f>HLOOKUP($A8,'Multi_Family (2)'!$C$6:$N$79,E$5,FALSE)</f>
        <v>-120.17</v>
      </c>
      <c r="F8" s="307">
        <f>HLOOKUP($A8,'Multi_Family (2)'!$C$6:$N$79,F$5,FALSE)</f>
        <v>64.900000000000006</v>
      </c>
      <c r="G8" s="307">
        <f>HLOOKUP($A8,'Multi_Family (2)'!$C$6:$N$79,G$5,FALSE)</f>
        <v>75.63</v>
      </c>
      <c r="H8" s="307">
        <f>HLOOKUP($A8,'Multi_Family (2)'!$C$6:$N$79,H$5,FALSE)</f>
        <v>71.97</v>
      </c>
      <c r="I8" s="307">
        <f>HLOOKUP($A8,'Multi_Family (2)'!$C$6:$N$79,I$5,FALSE)</f>
        <v>129.44999999999999</v>
      </c>
      <c r="J8" s="307">
        <f>HLOOKUP($A8,'Multi_Family (2)'!$C$6:$N$79,J$5,FALSE)</f>
        <v>129.44999999999999</v>
      </c>
      <c r="K8" s="307">
        <f>HLOOKUP($A8,'Multi_Family (2)'!$C$6:$N$79,K$5,FALSE)</f>
        <v>90.36</v>
      </c>
      <c r="L8" s="311">
        <f>HLOOKUP($A8,'Multi_Family (2)'!$C$6:$N$79,L$5,FALSE)</f>
        <v>-120.17</v>
      </c>
      <c r="M8" s="314"/>
    </row>
    <row r="9" spans="1:13" x14ac:dyDescent="0.2">
      <c r="A9" s="313">
        <f>+'Commodity Tonnages MF'!A9</f>
        <v>42216</v>
      </c>
      <c r="B9" s="305"/>
      <c r="C9" s="307">
        <f>HLOOKUP($A9,'Multi_Family (2)'!$C$6:$N$79,C$5,FALSE)</f>
        <v>777</v>
      </c>
      <c r="D9" s="311">
        <f>HLOOKUP($A9,'Multi_Family (2)'!$C$6:$N$79,D$5,FALSE)</f>
        <v>-8.0299999999999994</v>
      </c>
      <c r="E9" s="311">
        <f>HLOOKUP($A9,'Multi_Family (2)'!$C$6:$N$79,E$5,FALSE)</f>
        <v>-120.17</v>
      </c>
      <c r="F9" s="307">
        <f>HLOOKUP($A9,'Multi_Family (2)'!$C$6:$N$79,F$5,FALSE)</f>
        <v>58.33</v>
      </c>
      <c r="G9" s="307">
        <f>HLOOKUP($A9,'Multi_Family (2)'!$C$6:$N$79,G$5,FALSE)</f>
        <v>83.6</v>
      </c>
      <c r="H9" s="307">
        <f>HLOOKUP($A9,'Multi_Family (2)'!$C$6:$N$79,H$5,FALSE)</f>
        <v>78.17</v>
      </c>
      <c r="I9" s="307">
        <f>HLOOKUP($A9,'Multi_Family (2)'!$C$6:$N$79,I$5,FALSE)</f>
        <v>134.41</v>
      </c>
      <c r="J9" s="307">
        <f>HLOOKUP($A9,'Multi_Family (2)'!$C$6:$N$79,J$5,FALSE)</f>
        <v>134.41</v>
      </c>
      <c r="K9" s="307">
        <f>HLOOKUP($A9,'Multi_Family (2)'!$C$6:$N$79,K$5,FALSE)</f>
        <v>101.52</v>
      </c>
      <c r="L9" s="311">
        <f>HLOOKUP($A9,'Multi_Family (2)'!$C$6:$N$79,L$5,FALSE)</f>
        <v>-120.17</v>
      </c>
      <c r="M9" s="306"/>
    </row>
    <row r="10" spans="1:13" x14ac:dyDescent="0.2">
      <c r="A10" s="313">
        <f>+'Commodity Tonnages MF'!A10</f>
        <v>42247</v>
      </c>
      <c r="B10" s="305"/>
      <c r="C10" s="307">
        <f>HLOOKUP($A10,'Multi_Family (2)'!$C$6:$N$79,C$5,FALSE)</f>
        <v>798</v>
      </c>
      <c r="D10" s="311">
        <f>HLOOKUP($A10,'Multi_Family (2)'!$C$6:$N$79,D$5,FALSE)</f>
        <v>-1.52</v>
      </c>
      <c r="E10" s="311">
        <f>HLOOKUP($A10,'Multi_Family (2)'!$C$6:$N$79,E$5,FALSE)</f>
        <v>-120.17</v>
      </c>
      <c r="F10" s="307">
        <f>HLOOKUP($A10,'Multi_Family (2)'!$C$6:$N$79,F$5,FALSE)</f>
        <v>59.25</v>
      </c>
      <c r="G10" s="307">
        <f>HLOOKUP($A10,'Multi_Family (2)'!$C$6:$N$79,G$5,FALSE)</f>
        <v>93.37</v>
      </c>
      <c r="H10" s="307">
        <f>HLOOKUP($A10,'Multi_Family (2)'!$C$6:$N$79,H$5,FALSE)</f>
        <v>87.47</v>
      </c>
      <c r="I10" s="307">
        <f>HLOOKUP($A10,'Multi_Family (2)'!$C$6:$N$79,I$5,FALSE)</f>
        <v>130.41999999999999</v>
      </c>
      <c r="J10" s="307">
        <f>HLOOKUP($A10,'Multi_Family (2)'!$C$6:$N$79,J$5,FALSE)</f>
        <v>130.41999999999999</v>
      </c>
      <c r="K10" s="307">
        <f>HLOOKUP($A10,'Multi_Family (2)'!$C$6:$N$79,K$5,FALSE)</f>
        <v>110.76</v>
      </c>
      <c r="L10" s="311">
        <f>HLOOKUP($A10,'Multi_Family (2)'!$C$6:$N$79,L$5,FALSE)</f>
        <v>-120.17</v>
      </c>
      <c r="M10" s="306"/>
    </row>
    <row r="11" spans="1:13" x14ac:dyDescent="0.2">
      <c r="A11" s="313">
        <f>+'Commodity Tonnages MF'!A11</f>
        <v>42277</v>
      </c>
      <c r="B11" s="305"/>
      <c r="C11" s="307">
        <f>HLOOKUP($A11,'Multi_Family (2)'!$C$6:$N$79,C$5,FALSE)</f>
        <v>784</v>
      </c>
      <c r="D11" s="311">
        <f>HLOOKUP($A11,'Multi_Family (2)'!$C$6:$N$79,D$5,FALSE)</f>
        <v>-5.91</v>
      </c>
      <c r="E11" s="311">
        <f>HLOOKUP($A11,'Multi_Family (2)'!$C$6:$N$79,E$5,FALSE)</f>
        <v>-120.17</v>
      </c>
      <c r="F11" s="307">
        <f>HLOOKUP($A11,'Multi_Family (2)'!$C$6:$N$79,F$5,FALSE)</f>
        <v>59.29</v>
      </c>
      <c r="G11" s="307">
        <f>HLOOKUP($A11,'Multi_Family (2)'!$C$6:$N$79,G$5,FALSE)</f>
        <v>90.66</v>
      </c>
      <c r="H11" s="307">
        <f>HLOOKUP($A11,'Multi_Family (2)'!$C$6:$N$79,H$5,FALSE)</f>
        <v>77.81</v>
      </c>
      <c r="I11" s="307">
        <f>HLOOKUP($A11,'Multi_Family (2)'!$C$6:$N$79,I$5,FALSE)</f>
        <v>110.89</v>
      </c>
      <c r="J11" s="307">
        <f>HLOOKUP($A11,'Multi_Family (2)'!$C$6:$N$79,J$5,FALSE)</f>
        <v>110.89</v>
      </c>
      <c r="K11" s="307">
        <f>HLOOKUP($A11,'Multi_Family (2)'!$C$6:$N$79,K$5,FALSE)</f>
        <v>99.86</v>
      </c>
      <c r="L11" s="311">
        <f>HLOOKUP($A11,'Multi_Family (2)'!$C$6:$N$79,L$5,FALSE)</f>
        <v>-120.17</v>
      </c>
      <c r="M11" s="306"/>
    </row>
    <row r="12" spans="1:13" x14ac:dyDescent="0.2">
      <c r="A12" s="313">
        <f>+'Commodity Tonnages MF'!A12</f>
        <v>42308</v>
      </c>
      <c r="B12" s="305"/>
      <c r="C12" s="307">
        <f>HLOOKUP($A12,'Multi_Family (2)'!$C$6:$N$79,C$5,FALSE)</f>
        <v>812</v>
      </c>
      <c r="D12" s="311">
        <f>HLOOKUP($A12,'Multi_Family (2)'!$C$6:$N$79,D$5,FALSE)</f>
        <v>-6.71</v>
      </c>
      <c r="E12" s="311">
        <f>HLOOKUP($A12,'Multi_Family (2)'!$C$6:$N$79,E$5,FALSE)</f>
        <v>-120.17</v>
      </c>
      <c r="F12" s="307">
        <f>HLOOKUP($A12,'Multi_Family (2)'!$C$6:$N$79,F$5,FALSE)</f>
        <v>52.472000000000001</v>
      </c>
      <c r="G12" s="307">
        <f>HLOOKUP($A12,'Multi_Family (2)'!$C$6:$N$79,G$5,FALSE)</f>
        <v>88.47</v>
      </c>
      <c r="H12" s="307">
        <f>HLOOKUP($A12,'Multi_Family (2)'!$C$6:$N$79,H$5,FALSE)</f>
        <v>76.42</v>
      </c>
      <c r="I12" s="307">
        <f>HLOOKUP($A12,'Multi_Family (2)'!$C$6:$N$79,I$5,FALSE)</f>
        <v>100.65</v>
      </c>
      <c r="J12" s="307">
        <f>HLOOKUP($A12,'Multi_Family (2)'!$C$6:$N$79,J$5,FALSE)</f>
        <v>100.65</v>
      </c>
      <c r="K12" s="307">
        <f>HLOOKUP($A12,'Multi_Family (2)'!$C$6:$N$79,K$5,FALSE)</f>
        <v>103.64</v>
      </c>
      <c r="L12" s="311">
        <f>HLOOKUP($A12,'Multi_Family (2)'!$C$6:$N$79,L$5,FALSE)</f>
        <v>-120.17</v>
      </c>
      <c r="M12" s="306"/>
    </row>
    <row r="13" spans="1:13" x14ac:dyDescent="0.2">
      <c r="A13" s="313">
        <f>+'Commodity Tonnages MF'!A13</f>
        <v>42338</v>
      </c>
      <c r="B13" s="305"/>
      <c r="C13" s="307">
        <f>HLOOKUP($A13,'Multi_Family (2)'!$C$6:$N$79,C$5,FALSE)</f>
        <v>836.49</v>
      </c>
      <c r="D13" s="311">
        <f>HLOOKUP($A13,'Multi_Family (2)'!$C$6:$N$79,D$5,FALSE)</f>
        <v>-16.34</v>
      </c>
      <c r="E13" s="311">
        <f>HLOOKUP($A13,'Multi_Family (2)'!$C$6:$N$79,E$5,FALSE)</f>
        <v>-120.17</v>
      </c>
      <c r="F13" s="307">
        <f>HLOOKUP($A13,'Multi_Family (2)'!$C$6:$N$79,F$5,FALSE)</f>
        <v>66.003</v>
      </c>
      <c r="G13" s="307">
        <f>HLOOKUP($A13,'Multi_Family (2)'!$C$6:$N$79,G$5,FALSE)</f>
        <v>91.42</v>
      </c>
      <c r="H13" s="307">
        <f>HLOOKUP($A13,'Multi_Family (2)'!$C$6:$N$79,H$5,FALSE)</f>
        <v>81.59</v>
      </c>
      <c r="I13" s="307">
        <f>HLOOKUP($A13,'Multi_Family (2)'!$C$6:$N$79,I$5,FALSE)</f>
        <v>107.11</v>
      </c>
      <c r="J13" s="307">
        <f>HLOOKUP($A13,'Multi_Family (2)'!$C$6:$N$79,J$5,FALSE)</f>
        <v>107.11</v>
      </c>
      <c r="K13" s="307">
        <f>HLOOKUP($A13,'Multi_Family (2)'!$C$6:$N$79,K$5,FALSE)</f>
        <v>110.66</v>
      </c>
      <c r="L13" s="311">
        <f>HLOOKUP($A13,'Multi_Family (2)'!$C$6:$N$79,L$5,FALSE)</f>
        <v>-120.17</v>
      </c>
      <c r="M13" s="306"/>
    </row>
    <row r="14" spans="1:13" x14ac:dyDescent="0.2">
      <c r="A14" s="313">
        <f>+'Commodity Tonnages MF'!A14</f>
        <v>42369</v>
      </c>
      <c r="B14" s="305"/>
      <c r="C14" s="307">
        <f>HLOOKUP($A14,'Multi_Family (2)'!$C$6:$N$79,C$5,FALSE)</f>
        <v>863.56899999999996</v>
      </c>
      <c r="D14" s="311">
        <f>HLOOKUP($A14,'Multi_Family (2)'!$C$6:$N$79,D$5,FALSE)</f>
        <v>-19.71</v>
      </c>
      <c r="E14" s="311">
        <f>HLOOKUP($A14,'Multi_Family (2)'!$C$6:$N$79,E$5,FALSE)</f>
        <v>-120.17</v>
      </c>
      <c r="F14" s="307">
        <f>HLOOKUP($A14,'Multi_Family (2)'!$C$6:$N$79,F$5,FALSE)</f>
        <v>67.542999999999992</v>
      </c>
      <c r="G14" s="307">
        <f>HLOOKUP($A14,'Multi_Family (2)'!$C$6:$N$79,G$5,FALSE)</f>
        <v>90.152999999999992</v>
      </c>
      <c r="H14" s="307">
        <f>HLOOKUP($A14,'Multi_Family (2)'!$C$6:$N$79,H$5,FALSE)</f>
        <v>85.945999999999998</v>
      </c>
      <c r="I14" s="307">
        <f>HLOOKUP($A14,'Multi_Family (2)'!$C$6:$N$79,I$5,FALSE)</f>
        <v>99.483999999999995</v>
      </c>
      <c r="J14" s="307">
        <f>HLOOKUP($A14,'Multi_Family (2)'!$C$6:$N$79,J$5,FALSE)</f>
        <v>99.483999999999995</v>
      </c>
      <c r="K14" s="307">
        <f>HLOOKUP($A14,'Multi_Family (2)'!$C$6:$N$79,K$5,FALSE)</f>
        <v>112.602</v>
      </c>
      <c r="L14" s="311">
        <f>HLOOKUP($A14,'Multi_Family (2)'!$C$6:$N$79,L$5,FALSE)</f>
        <v>-120.17</v>
      </c>
      <c r="M14" s="306"/>
    </row>
    <row r="15" spans="1:13" x14ac:dyDescent="0.2">
      <c r="A15" s="313">
        <f>+'Commodity Tonnages MF'!A15</f>
        <v>42400</v>
      </c>
      <c r="B15" s="305"/>
      <c r="C15" s="307">
        <f>HLOOKUP($A15,'Multi_Family (2)'!$C$6:$N$79,C$5,FALSE)</f>
        <v>886.43799999999987</v>
      </c>
      <c r="D15" s="311">
        <f>HLOOKUP($A15,'Multi_Family (2)'!$C$6:$N$79,D$5,FALSE)</f>
        <v>-11</v>
      </c>
      <c r="E15" s="311">
        <f>HLOOKUP($A15,'Multi_Family (2)'!$C$6:$N$79,E$5,FALSE)</f>
        <v>-120.17</v>
      </c>
      <c r="F15" s="307">
        <f>HLOOKUP($A15,'Multi_Family (2)'!$C$6:$N$79,F$5,FALSE)</f>
        <v>82.466999999999999</v>
      </c>
      <c r="G15" s="307">
        <f>HLOOKUP($A15,'Multi_Family (2)'!$C$6:$N$79,G$5,FALSE)</f>
        <v>94.086999999999989</v>
      </c>
      <c r="H15" s="307">
        <f>HLOOKUP($A15,'Multi_Family (2)'!$C$6:$N$79,H$5,FALSE)</f>
        <v>80.394999999999996</v>
      </c>
      <c r="I15" s="307">
        <f>HLOOKUP($A15,'Multi_Family (2)'!$C$6:$N$79,I$5,FALSE)</f>
        <v>111.96499999999999</v>
      </c>
      <c r="J15" s="307">
        <f>HLOOKUP($A15,'Multi_Family (2)'!$C$6:$N$79,J$5,FALSE)</f>
        <v>111.96499999999999</v>
      </c>
      <c r="K15" s="307">
        <f>HLOOKUP($A15,'Multi_Family (2)'!$C$6:$N$79,K$5,FALSE)</f>
        <v>119.57399999999998</v>
      </c>
      <c r="L15" s="311">
        <f>HLOOKUP($A15,'Multi_Family (2)'!$C$6:$N$79,L$5,FALSE)</f>
        <v>-120.17</v>
      </c>
      <c r="M15" s="306"/>
    </row>
    <row r="16" spans="1:13" x14ac:dyDescent="0.2">
      <c r="A16" s="313">
        <f>+'Commodity Tonnages MF'!A16</f>
        <v>42429</v>
      </c>
      <c r="B16" s="305"/>
      <c r="C16" s="307">
        <f>HLOOKUP($A16,'Multi_Family (2)'!$C$6:$N$79,C$5,FALSE)</f>
        <v>939.42799999999988</v>
      </c>
      <c r="D16" s="311">
        <f>HLOOKUP($A16,'Multi_Family (2)'!$C$6:$N$79,D$5,FALSE)</f>
        <v>-10.55</v>
      </c>
      <c r="E16" s="311">
        <f>HLOOKUP($A16,'Multi_Family (2)'!$C$6:$N$79,E$5,FALSE)</f>
        <v>-120.17</v>
      </c>
      <c r="F16" s="307">
        <f>HLOOKUP($A16,'Multi_Family (2)'!$C$6:$N$79,F$5,FALSE)</f>
        <v>73.513999999999996</v>
      </c>
      <c r="G16" s="307">
        <f>HLOOKUP($A16,'Multi_Family (2)'!$C$6:$N$79,G$5,FALSE)</f>
        <v>111.29300000000001</v>
      </c>
      <c r="H16" s="307">
        <f>HLOOKUP($A16,'Multi_Family (2)'!$C$6:$N$79,H$5,FALSE)</f>
        <v>103.03299999999999</v>
      </c>
      <c r="I16" s="307">
        <f>HLOOKUP($A16,'Multi_Family (2)'!$C$6:$N$79,I$5,FALSE)</f>
        <v>125.03399999999999</v>
      </c>
      <c r="J16" s="307">
        <f>HLOOKUP($A16,'Multi_Family (2)'!$C$6:$N$79,J$5,FALSE)</f>
        <v>125.03399999999999</v>
      </c>
      <c r="K16" s="307">
        <f>HLOOKUP($A16,'Multi_Family (2)'!$C$6:$N$79,K$5,FALSE)</f>
        <v>141.428</v>
      </c>
      <c r="L16" s="311">
        <f>HLOOKUP($A16,'Multi_Family (2)'!$C$6:$N$79,L$5,FALSE)</f>
        <v>-120.17</v>
      </c>
      <c r="M16" s="306"/>
    </row>
    <row r="17" spans="1:14" x14ac:dyDescent="0.2">
      <c r="A17" s="313">
        <f>+'Commodity Tonnages MF'!A17</f>
        <v>42460</v>
      </c>
      <c r="B17" s="305"/>
      <c r="C17" s="307">
        <f>HLOOKUP($A17,'Multi_Family (2)'!$C$6:$N$79,C$5,FALSE)</f>
        <v>960.31600000000003</v>
      </c>
      <c r="D17" s="311">
        <f>HLOOKUP($A17,'Multi_Family (2)'!$C$6:$N$79,D$5,FALSE)</f>
        <v>-10.44</v>
      </c>
      <c r="E17" s="311">
        <f>HLOOKUP($A17,'Multi_Family (2)'!$C$6:$N$79,E$5,FALSE)</f>
        <v>-134.59</v>
      </c>
      <c r="F17" s="307">
        <f>HLOOKUP($A17,'Multi_Family (2)'!$C$6:$N$79,F$5,FALSE)</f>
        <v>89.299000000000007</v>
      </c>
      <c r="G17" s="307">
        <f>HLOOKUP($A17,'Multi_Family (2)'!$C$6:$N$79,G$5,FALSE)</f>
        <v>106.428</v>
      </c>
      <c r="H17" s="307">
        <f>HLOOKUP($A17,'Multi_Family (2)'!$C$6:$N$79,H$5,FALSE)</f>
        <v>102.494</v>
      </c>
      <c r="I17" s="307">
        <f>HLOOKUP($A17,'Multi_Family (2)'!$C$6:$N$79,I$5,FALSE)</f>
        <v>108.983</v>
      </c>
      <c r="J17" s="307">
        <f>HLOOKUP($A17,'Multi_Family (2)'!$C$6:$N$79,J$5,FALSE)</f>
        <v>108.983</v>
      </c>
      <c r="K17" s="307">
        <f>HLOOKUP($A17,'Multi_Family (2)'!$C$6:$N$79,K$5,FALSE)</f>
        <v>156.905</v>
      </c>
      <c r="L17" s="311">
        <f>HLOOKUP($A17,'Multi_Family (2)'!$C$6:$N$79,L$5,FALSE)</f>
        <v>-134.59</v>
      </c>
      <c r="M17" s="306"/>
    </row>
    <row r="18" spans="1:14" x14ac:dyDescent="0.2">
      <c r="A18" s="313">
        <f>+'Commodity Tonnages MF'!A18</f>
        <v>42490</v>
      </c>
      <c r="B18" s="305"/>
      <c r="C18" s="307">
        <f>HLOOKUP($A18,'Multi_Family (2)'!$C$6:$N$79,C$5,FALSE)</f>
        <v>947.87</v>
      </c>
      <c r="D18" s="311">
        <f>HLOOKUP($A18,'Multi_Family (2)'!$C$6:$N$79,D$5,FALSE)</f>
        <v>-10.45</v>
      </c>
      <c r="E18" s="311">
        <f>HLOOKUP($A18,'Multi_Family (2)'!$C$6:$N$79,E$5,FALSE)</f>
        <v>-134.59</v>
      </c>
      <c r="F18" s="307">
        <f>HLOOKUP($A18,'Multi_Family (2)'!$C$6:$N$79,F$5,FALSE)</f>
        <v>77.78</v>
      </c>
      <c r="G18" s="307">
        <f>HLOOKUP($A18,'Multi_Family (2)'!$C$6:$N$79,G$5,FALSE)</f>
        <v>61.02</v>
      </c>
      <c r="H18" s="307">
        <f>HLOOKUP($A18,'Multi_Family (2)'!$C$6:$N$79,H$5,FALSE)</f>
        <v>54.15</v>
      </c>
      <c r="I18" s="307">
        <f>HLOOKUP($A18,'Multi_Family (2)'!$C$6:$N$79,I$5,FALSE)</f>
        <v>100.86</v>
      </c>
      <c r="J18" s="307">
        <f>HLOOKUP($A18,'Multi_Family (2)'!$C$6:$N$79,J$5,FALSE)</f>
        <v>100.86</v>
      </c>
      <c r="K18" s="307">
        <f>HLOOKUP($A18,'Multi_Family (2)'!$C$6:$N$79,K$5,FALSE)</f>
        <v>118.99</v>
      </c>
      <c r="L18" s="311">
        <f>HLOOKUP($A18,'Multi_Family (2)'!$C$6:$N$79,L$5,FALSE)</f>
        <v>-134.59</v>
      </c>
      <c r="M18" s="306"/>
    </row>
    <row r="19" spans="1:14" x14ac:dyDescent="0.2">
      <c r="A19" s="305"/>
      <c r="B19" s="305"/>
      <c r="C19" s="306"/>
      <c r="D19" s="306"/>
      <c r="E19" s="306"/>
      <c r="F19" s="306"/>
      <c r="G19" s="306"/>
      <c r="H19" s="306"/>
      <c r="I19" s="306"/>
      <c r="J19" s="306"/>
      <c r="K19" s="306"/>
      <c r="L19" s="305"/>
      <c r="M19" s="306"/>
    </row>
    <row r="20" spans="1:14" x14ac:dyDescent="0.2">
      <c r="A20" s="310"/>
      <c r="B20" s="305"/>
      <c r="C20" s="306"/>
      <c r="D20" s="306"/>
      <c r="E20" s="306"/>
      <c r="F20" s="306"/>
      <c r="G20" s="306"/>
      <c r="H20" s="306"/>
      <c r="I20" s="306"/>
      <c r="J20" s="306"/>
      <c r="K20" s="306"/>
      <c r="L20" s="306"/>
      <c r="M20" s="306"/>
      <c r="N20" s="306" t="s">
        <v>31</v>
      </c>
    </row>
    <row r="21" spans="1:14" x14ac:dyDescent="0.2">
      <c r="A21" s="305"/>
      <c r="B21" s="305"/>
      <c r="C21" s="305"/>
      <c r="D21" s="305"/>
      <c r="E21" s="305"/>
      <c r="F21" s="305"/>
      <c r="G21" s="305"/>
      <c r="H21" s="305"/>
      <c r="I21" s="305"/>
      <c r="J21" s="305"/>
      <c r="K21" s="305"/>
      <c r="L21" s="305"/>
      <c r="M21" s="306"/>
    </row>
    <row r="22" spans="1:14" x14ac:dyDescent="0.2">
      <c r="A22" s="305"/>
      <c r="B22" s="305"/>
      <c r="C22" s="305"/>
      <c r="D22" s="305"/>
      <c r="E22" s="305"/>
      <c r="F22" s="305"/>
      <c r="G22" s="305"/>
      <c r="H22" s="305"/>
      <c r="I22" s="305"/>
      <c r="J22" s="305"/>
      <c r="K22" s="305"/>
      <c r="L22" s="305"/>
      <c r="M22" s="306"/>
    </row>
    <row r="23" spans="1:14" x14ac:dyDescent="0.2">
      <c r="A23" s="305"/>
      <c r="B23" s="305"/>
      <c r="C23" s="305"/>
      <c r="D23" s="305"/>
      <c r="E23" s="305"/>
      <c r="F23" s="305"/>
      <c r="G23" s="305"/>
      <c r="H23" s="305"/>
      <c r="I23" s="305"/>
      <c r="J23" s="305"/>
      <c r="K23" s="305"/>
      <c r="L23" s="305"/>
      <c r="M23" s="306"/>
    </row>
    <row r="24" spans="1:14" x14ac:dyDescent="0.2">
      <c r="A24" s="305"/>
      <c r="B24" s="305"/>
      <c r="C24" s="305"/>
      <c r="D24" s="305"/>
      <c r="E24" s="305"/>
      <c r="F24" s="305"/>
      <c r="G24" s="305"/>
      <c r="H24" s="305"/>
      <c r="I24" s="305"/>
      <c r="J24" s="305"/>
      <c r="K24" s="305"/>
      <c r="L24" s="305"/>
      <c r="M24" s="306"/>
    </row>
    <row r="25" spans="1:14" x14ac:dyDescent="0.2">
      <c r="A25" s="305"/>
      <c r="B25" s="305"/>
      <c r="C25" s="305"/>
      <c r="D25" s="305"/>
      <c r="E25" s="305"/>
      <c r="F25" s="305"/>
      <c r="G25" s="305"/>
      <c r="H25" s="305"/>
      <c r="I25" s="305"/>
      <c r="J25" s="305"/>
      <c r="K25" s="305"/>
      <c r="L25" s="305"/>
      <c r="M25" s="306"/>
    </row>
    <row r="26" spans="1:14" x14ac:dyDescent="0.2">
      <c r="A26" s="305"/>
      <c r="B26" s="305"/>
      <c r="C26" s="305"/>
      <c r="D26" s="305"/>
      <c r="E26" s="305"/>
      <c r="F26" s="305"/>
      <c r="G26" s="305"/>
      <c r="H26" s="305"/>
      <c r="I26" s="305"/>
      <c r="J26" s="305"/>
      <c r="K26" s="305"/>
      <c r="L26" s="305"/>
      <c r="M26" s="306"/>
    </row>
    <row r="27" spans="1:14" x14ac:dyDescent="0.2">
      <c r="A27" s="305"/>
      <c r="B27" s="305"/>
      <c r="C27" s="305"/>
      <c r="D27" s="305"/>
      <c r="E27" s="305"/>
      <c r="F27" s="305"/>
      <c r="G27" s="305"/>
      <c r="H27" s="305"/>
      <c r="I27" s="305"/>
      <c r="J27" s="305"/>
      <c r="K27" s="305"/>
      <c r="L27" s="305"/>
      <c r="M27" s="306"/>
    </row>
    <row r="28" spans="1:14" x14ac:dyDescent="0.2">
      <c r="A28" s="305"/>
      <c r="B28" s="305"/>
      <c r="C28" s="305"/>
      <c r="D28" s="305"/>
      <c r="E28" s="305"/>
      <c r="F28" s="305"/>
      <c r="G28" s="305"/>
      <c r="H28" s="305"/>
      <c r="I28" s="305"/>
      <c r="J28" s="305"/>
      <c r="K28" s="305"/>
      <c r="L28" s="305"/>
      <c r="M28" s="306"/>
    </row>
    <row r="29" spans="1:14" x14ac:dyDescent="0.2">
      <c r="A29" s="305"/>
      <c r="B29" s="305"/>
      <c r="C29" s="305"/>
      <c r="D29" s="305"/>
      <c r="E29" s="305"/>
      <c r="F29" s="305"/>
      <c r="G29" s="305"/>
      <c r="H29" s="305"/>
      <c r="I29" s="305"/>
      <c r="J29" s="305"/>
      <c r="K29" s="305"/>
      <c r="L29" s="305"/>
      <c r="M29" s="306"/>
    </row>
    <row r="30" spans="1:14" x14ac:dyDescent="0.2">
      <c r="A30" s="305"/>
      <c r="B30" s="305"/>
      <c r="C30" s="305"/>
      <c r="D30" s="305"/>
      <c r="E30" s="305"/>
      <c r="F30" s="305"/>
      <c r="G30" s="305"/>
      <c r="H30" s="305"/>
      <c r="I30" s="305"/>
      <c r="J30" s="305"/>
      <c r="K30" s="305"/>
      <c r="L30" s="305"/>
      <c r="M30" s="306"/>
    </row>
    <row r="31" spans="1:14" x14ac:dyDescent="0.2">
      <c r="A31" s="305"/>
      <c r="B31" s="305"/>
      <c r="C31" s="305"/>
      <c r="D31" s="305"/>
      <c r="E31" s="305"/>
      <c r="F31" s="305"/>
      <c r="G31" s="305"/>
      <c r="H31" s="305"/>
      <c r="I31" s="305"/>
      <c r="J31" s="305"/>
      <c r="K31" s="305"/>
      <c r="L31" s="305"/>
      <c r="M31" s="305"/>
    </row>
    <row r="32" spans="1:14" x14ac:dyDescent="0.2">
      <c r="A32" s="305"/>
      <c r="B32" s="305"/>
      <c r="C32" s="305"/>
      <c r="D32" s="305"/>
      <c r="E32" s="305"/>
      <c r="F32" s="305"/>
      <c r="G32" s="305"/>
      <c r="H32" s="305"/>
      <c r="I32" s="305"/>
      <c r="J32" s="305"/>
      <c r="K32" s="305"/>
      <c r="L32" s="305"/>
      <c r="M32" s="305"/>
    </row>
    <row r="33" spans="1:13" x14ac:dyDescent="0.2">
      <c r="A33" s="305"/>
      <c r="B33" s="305"/>
      <c r="C33" s="305"/>
      <c r="D33" s="305"/>
      <c r="E33" s="305"/>
      <c r="F33" s="305"/>
      <c r="G33" s="305"/>
      <c r="H33" s="305"/>
      <c r="I33" s="305"/>
      <c r="J33" s="305"/>
      <c r="K33" s="305"/>
      <c r="L33" s="305"/>
      <c r="M33" s="305"/>
    </row>
    <row r="34" spans="1:13" x14ac:dyDescent="0.2">
      <c r="A34" s="305"/>
      <c r="B34" s="305"/>
      <c r="C34" s="305"/>
      <c r="D34" s="305"/>
      <c r="E34" s="305"/>
      <c r="F34" s="305"/>
      <c r="G34" s="305"/>
      <c r="H34" s="305"/>
      <c r="I34" s="305"/>
      <c r="J34" s="305"/>
      <c r="K34" s="305"/>
      <c r="L34" s="305"/>
      <c r="M34" s="305"/>
    </row>
    <row r="35" spans="1:13" x14ac:dyDescent="0.2">
      <c r="A35" s="305"/>
      <c r="B35" s="305"/>
      <c r="C35" s="305"/>
      <c r="D35" s="305"/>
      <c r="E35" s="305"/>
      <c r="F35" s="305"/>
      <c r="G35" s="305"/>
      <c r="H35" s="305"/>
      <c r="I35" s="305"/>
      <c r="J35" s="305"/>
      <c r="K35" s="305"/>
      <c r="L35" s="305"/>
      <c r="M35" s="305"/>
    </row>
    <row r="36" spans="1:13" x14ac:dyDescent="0.2">
      <c r="A36" s="305"/>
      <c r="B36" s="305"/>
      <c r="C36" s="305"/>
      <c r="D36" s="305"/>
      <c r="E36" s="305"/>
      <c r="F36" s="305"/>
      <c r="G36" s="305"/>
      <c r="H36" s="305"/>
      <c r="I36" s="305"/>
      <c r="J36" s="305"/>
      <c r="K36" s="305"/>
      <c r="L36" s="305"/>
      <c r="M36" s="305"/>
    </row>
    <row r="37" spans="1:13" x14ac:dyDescent="0.2">
      <c r="A37" s="305"/>
      <c r="B37" s="305"/>
      <c r="C37" s="305"/>
      <c r="D37" s="305"/>
      <c r="E37" s="305"/>
      <c r="F37" s="305"/>
      <c r="G37" s="305"/>
      <c r="H37" s="305"/>
      <c r="I37" s="305"/>
      <c r="J37" s="305"/>
      <c r="K37" s="305"/>
      <c r="L37" s="305"/>
      <c r="M37" s="305"/>
    </row>
    <row r="38" spans="1:13" x14ac:dyDescent="0.2">
      <c r="A38" s="305"/>
      <c r="B38" s="305"/>
      <c r="C38" s="305"/>
      <c r="D38" s="305"/>
      <c r="E38" s="305"/>
      <c r="F38" s="305"/>
      <c r="G38" s="305"/>
      <c r="H38" s="305"/>
      <c r="I38" s="305"/>
      <c r="J38" s="305"/>
      <c r="K38" s="305"/>
      <c r="L38" s="305"/>
      <c r="M38" s="305"/>
    </row>
    <row r="39" spans="1:13" x14ac:dyDescent="0.2">
      <c r="A39" s="305"/>
      <c r="B39" s="305"/>
      <c r="C39" s="305"/>
      <c r="D39" s="305"/>
      <c r="E39" s="305"/>
      <c r="F39" s="305"/>
      <c r="G39" s="305"/>
      <c r="H39" s="305"/>
      <c r="I39" s="305"/>
      <c r="J39" s="305"/>
      <c r="K39" s="305"/>
      <c r="L39" s="305"/>
      <c r="M39" s="305"/>
    </row>
    <row r="40" spans="1:13" x14ac:dyDescent="0.2">
      <c r="A40" s="305"/>
      <c r="B40" s="305"/>
      <c r="C40" s="305"/>
      <c r="D40" s="305"/>
      <c r="E40" s="305"/>
      <c r="F40" s="305"/>
      <c r="G40" s="305"/>
      <c r="H40" s="305"/>
      <c r="I40" s="305"/>
      <c r="J40" s="305"/>
      <c r="K40" s="305"/>
      <c r="L40" s="305"/>
      <c r="M40" s="305"/>
    </row>
    <row r="41" spans="1:13" x14ac:dyDescent="0.2">
      <c r="A41" s="305"/>
      <c r="B41" s="305"/>
      <c r="C41" s="305"/>
      <c r="D41" s="305"/>
      <c r="E41" s="305"/>
      <c r="F41" s="305"/>
      <c r="G41" s="305"/>
      <c r="H41" s="305"/>
      <c r="I41" s="305"/>
      <c r="J41" s="305"/>
      <c r="K41" s="305"/>
      <c r="L41" s="305"/>
      <c r="M41" s="305"/>
    </row>
    <row r="42" spans="1:13" x14ac:dyDescent="0.2">
      <c r="A42" s="305"/>
      <c r="B42" s="305"/>
      <c r="C42" s="305"/>
      <c r="D42" s="305"/>
      <c r="E42" s="305"/>
      <c r="F42" s="305"/>
      <c r="G42" s="305"/>
      <c r="H42" s="305"/>
      <c r="I42" s="305"/>
      <c r="J42" s="305"/>
      <c r="K42" s="305"/>
      <c r="L42" s="305"/>
      <c r="M42" s="305"/>
    </row>
    <row r="43" spans="1:13" x14ac:dyDescent="0.2">
      <c r="A43" s="305"/>
      <c r="B43" s="305"/>
      <c r="C43" s="305"/>
      <c r="D43" s="305"/>
      <c r="E43" s="305"/>
      <c r="F43" s="305"/>
      <c r="G43" s="305"/>
      <c r="H43" s="305"/>
      <c r="I43" s="305"/>
      <c r="J43" s="305"/>
      <c r="K43" s="305"/>
      <c r="L43" s="305"/>
      <c r="M43" s="305"/>
    </row>
    <row r="44" spans="1:13" x14ac:dyDescent="0.2">
      <c r="A44" s="305"/>
      <c r="B44" s="305"/>
      <c r="C44" s="305"/>
      <c r="D44" s="305"/>
      <c r="E44" s="305"/>
      <c r="F44" s="305"/>
      <c r="G44" s="305"/>
      <c r="H44" s="305"/>
      <c r="I44" s="305"/>
      <c r="J44" s="305"/>
      <c r="K44" s="305"/>
      <c r="L44" s="305"/>
      <c r="M44" s="305"/>
    </row>
    <row r="45" spans="1:13" x14ac:dyDescent="0.2">
      <c r="A45" s="305"/>
      <c r="B45" s="305"/>
      <c r="C45" s="305"/>
      <c r="D45" s="305"/>
      <c r="E45" s="305"/>
      <c r="F45" s="305"/>
      <c r="G45" s="305"/>
      <c r="H45" s="305"/>
      <c r="I45" s="305"/>
      <c r="J45" s="305"/>
      <c r="K45" s="305"/>
      <c r="L45" s="305"/>
      <c r="M45" s="305"/>
    </row>
    <row r="46" spans="1:13" x14ac:dyDescent="0.2">
      <c r="A46" s="305"/>
      <c r="B46" s="305"/>
      <c r="C46" s="305"/>
      <c r="D46" s="305"/>
      <c r="E46" s="305"/>
      <c r="F46" s="305"/>
      <c r="G46" s="305"/>
      <c r="H46" s="305"/>
      <c r="I46" s="305"/>
      <c r="J46" s="305"/>
      <c r="K46" s="305"/>
      <c r="L46" s="305"/>
      <c r="M46" s="305"/>
    </row>
    <row r="47" spans="1:13" x14ac:dyDescent="0.2">
      <c r="A47" s="305"/>
      <c r="B47" s="305"/>
      <c r="C47" s="305"/>
      <c r="D47" s="305"/>
      <c r="E47" s="305"/>
      <c r="F47" s="305"/>
      <c r="G47" s="305"/>
      <c r="H47" s="305"/>
      <c r="I47" s="305"/>
      <c r="J47" s="305"/>
      <c r="K47" s="305"/>
      <c r="L47" s="305"/>
      <c r="M47" s="305"/>
    </row>
    <row r="48" spans="1:13" x14ac:dyDescent="0.2">
      <c r="A48" s="305"/>
      <c r="B48" s="305"/>
      <c r="C48" s="305"/>
      <c r="D48" s="305"/>
      <c r="E48" s="305"/>
      <c r="F48" s="305"/>
      <c r="G48" s="305"/>
      <c r="H48" s="305"/>
      <c r="I48" s="305"/>
      <c r="J48" s="305"/>
      <c r="K48" s="305"/>
      <c r="L48" s="305"/>
      <c r="M48" s="305"/>
    </row>
    <row r="49" spans="1:13" x14ac:dyDescent="0.2">
      <c r="A49" s="305"/>
      <c r="B49" s="305"/>
      <c r="C49" s="305"/>
      <c r="D49" s="305"/>
      <c r="E49" s="305"/>
      <c r="F49" s="305"/>
      <c r="G49" s="305"/>
      <c r="H49" s="305"/>
      <c r="I49" s="305"/>
      <c r="J49" s="305"/>
      <c r="K49" s="305"/>
      <c r="L49" s="305"/>
      <c r="M49" s="305"/>
    </row>
    <row r="50" spans="1:13" x14ac:dyDescent="0.2">
      <c r="A50" s="305"/>
      <c r="B50" s="305"/>
      <c r="C50" s="305"/>
      <c r="D50" s="305"/>
      <c r="E50" s="305"/>
      <c r="F50" s="305"/>
      <c r="G50" s="305"/>
      <c r="H50" s="305"/>
      <c r="I50" s="305"/>
      <c r="J50" s="305"/>
      <c r="K50" s="305"/>
      <c r="L50" s="305"/>
      <c r="M50" s="305"/>
    </row>
    <row r="51" spans="1:13" x14ac:dyDescent="0.2">
      <c r="A51" s="305"/>
      <c r="B51" s="305"/>
      <c r="C51" s="305"/>
      <c r="D51" s="305"/>
      <c r="E51" s="305"/>
      <c r="F51" s="305"/>
      <c r="G51" s="305"/>
      <c r="H51" s="305"/>
      <c r="I51" s="305"/>
      <c r="J51" s="305"/>
      <c r="K51" s="305"/>
      <c r="L51" s="305"/>
      <c r="M51" s="305"/>
    </row>
    <row r="52" spans="1:13" x14ac:dyDescent="0.2">
      <c r="A52" s="305"/>
      <c r="B52" s="305"/>
      <c r="C52" s="305"/>
      <c r="D52" s="305"/>
      <c r="E52" s="305"/>
      <c r="F52" s="305"/>
      <c r="G52" s="305"/>
      <c r="H52" s="305"/>
      <c r="I52" s="305"/>
      <c r="J52" s="305"/>
      <c r="K52" s="305"/>
      <c r="L52" s="305"/>
      <c r="M52" s="305"/>
    </row>
    <row r="53" spans="1:13" x14ac:dyDescent="0.2">
      <c r="A53" s="305"/>
      <c r="B53" s="305"/>
      <c r="C53" s="305"/>
      <c r="D53" s="305"/>
      <c r="E53" s="305"/>
      <c r="F53" s="305"/>
      <c r="G53" s="305"/>
      <c r="H53" s="305"/>
      <c r="I53" s="305"/>
      <c r="J53" s="305"/>
      <c r="K53" s="305"/>
      <c r="L53" s="305"/>
      <c r="M53" s="305"/>
    </row>
    <row r="54" spans="1:13" x14ac:dyDescent="0.2">
      <c r="A54" s="305"/>
      <c r="B54" s="305"/>
      <c r="C54" s="305"/>
      <c r="D54" s="305"/>
      <c r="E54" s="305"/>
      <c r="F54" s="305"/>
      <c r="G54" s="305"/>
      <c r="H54" s="305"/>
      <c r="I54" s="305"/>
      <c r="J54" s="305"/>
      <c r="K54" s="305"/>
      <c r="L54" s="305"/>
      <c r="M54" s="305"/>
    </row>
    <row r="55" spans="1:13" x14ac:dyDescent="0.2">
      <c r="A55" s="305"/>
      <c r="B55" s="305"/>
      <c r="C55" s="305"/>
      <c r="D55" s="305"/>
      <c r="E55" s="305"/>
      <c r="F55" s="305"/>
      <c r="G55" s="305"/>
      <c r="H55" s="305"/>
      <c r="I55" s="305"/>
      <c r="J55" s="305"/>
      <c r="K55" s="305"/>
      <c r="L55" s="305"/>
      <c r="M55" s="305"/>
    </row>
    <row r="56" spans="1:13" x14ac:dyDescent="0.2">
      <c r="A56" s="305"/>
      <c r="B56" s="305"/>
      <c r="C56" s="305"/>
      <c r="D56" s="305"/>
      <c r="E56" s="305"/>
      <c r="F56" s="305"/>
      <c r="G56" s="305"/>
      <c r="H56" s="305"/>
      <c r="I56" s="305"/>
      <c r="J56" s="305"/>
      <c r="K56" s="305"/>
      <c r="L56" s="305"/>
      <c r="M56" s="305"/>
    </row>
    <row r="57" spans="1:13" x14ac:dyDescent="0.2">
      <c r="A57" s="305"/>
      <c r="B57" s="305"/>
      <c r="C57" s="305"/>
      <c r="D57" s="305"/>
      <c r="E57" s="305"/>
      <c r="F57" s="305"/>
      <c r="G57" s="305"/>
      <c r="H57" s="305"/>
      <c r="I57" s="305"/>
      <c r="J57" s="305"/>
      <c r="K57" s="305"/>
      <c r="L57" s="305"/>
      <c r="M57" s="305"/>
    </row>
    <row r="58" spans="1:13" x14ac:dyDescent="0.2">
      <c r="A58" s="305"/>
      <c r="B58" s="305"/>
      <c r="C58" s="305"/>
      <c r="D58" s="305"/>
      <c r="E58" s="305"/>
      <c r="F58" s="305"/>
      <c r="G58" s="305"/>
      <c r="H58" s="305"/>
      <c r="I58" s="305"/>
      <c r="J58" s="305"/>
      <c r="K58" s="305"/>
      <c r="L58" s="305"/>
      <c r="M58" s="305"/>
    </row>
    <row r="59" spans="1:13" x14ac:dyDescent="0.2">
      <c r="A59" s="305"/>
      <c r="B59" s="305"/>
      <c r="C59" s="305"/>
      <c r="D59" s="305"/>
      <c r="E59" s="305"/>
      <c r="F59" s="305"/>
      <c r="G59" s="305"/>
      <c r="H59" s="305"/>
      <c r="I59" s="305"/>
      <c r="J59" s="305"/>
      <c r="K59" s="305"/>
      <c r="L59" s="305"/>
      <c r="M59" s="305"/>
    </row>
    <row r="60" spans="1:13" x14ac:dyDescent="0.2">
      <c r="A60" s="305"/>
      <c r="B60" s="305"/>
      <c r="C60" s="305"/>
      <c r="D60" s="305"/>
      <c r="E60" s="305"/>
      <c r="F60" s="305"/>
      <c r="G60" s="305"/>
      <c r="H60" s="305"/>
      <c r="I60" s="305"/>
      <c r="J60" s="305"/>
      <c r="K60" s="305"/>
      <c r="L60" s="305"/>
      <c r="M60" s="305"/>
    </row>
    <row r="61" spans="1:13" x14ac:dyDescent="0.2">
      <c r="A61" s="305"/>
      <c r="B61" s="305"/>
      <c r="C61" s="305"/>
      <c r="D61" s="305"/>
      <c r="E61" s="305"/>
      <c r="F61" s="305"/>
      <c r="G61" s="305"/>
      <c r="H61" s="305"/>
      <c r="I61" s="305"/>
      <c r="J61" s="305"/>
      <c r="K61" s="305"/>
      <c r="L61" s="305"/>
      <c r="M61" s="305"/>
    </row>
    <row r="62" spans="1:13" x14ac:dyDescent="0.2">
      <c r="A62" s="305"/>
      <c r="B62" s="305"/>
      <c r="C62" s="305"/>
      <c r="D62" s="305"/>
      <c r="E62" s="305"/>
      <c r="F62" s="305"/>
      <c r="G62" s="305"/>
      <c r="H62" s="305"/>
      <c r="I62" s="305"/>
      <c r="J62" s="305"/>
      <c r="K62" s="305"/>
      <c r="L62" s="305"/>
      <c r="M62" s="305"/>
    </row>
    <row r="63" spans="1:13" x14ac:dyDescent="0.2">
      <c r="A63" s="305"/>
      <c r="B63" s="305"/>
      <c r="C63" s="305"/>
      <c r="D63" s="305"/>
      <c r="E63" s="305"/>
      <c r="F63" s="305"/>
      <c r="G63" s="305"/>
      <c r="H63" s="305"/>
      <c r="I63" s="305"/>
      <c r="J63" s="305"/>
      <c r="K63" s="305"/>
      <c r="L63" s="305"/>
      <c r="M63" s="305"/>
    </row>
    <row r="64" spans="1:13" x14ac:dyDescent="0.2">
      <c r="A64" s="305"/>
      <c r="B64" s="305"/>
      <c r="C64" s="305"/>
      <c r="D64" s="305"/>
      <c r="E64" s="305"/>
      <c r="F64" s="305"/>
      <c r="G64" s="305"/>
      <c r="H64" s="305"/>
      <c r="I64" s="305"/>
      <c r="J64" s="305"/>
      <c r="K64" s="305"/>
      <c r="L64" s="305"/>
      <c r="M64" s="305"/>
    </row>
    <row r="65" spans="1:13" x14ac:dyDescent="0.2">
      <c r="A65" s="305"/>
      <c r="B65" s="305"/>
      <c r="C65" s="305"/>
      <c r="D65" s="305"/>
      <c r="E65" s="305"/>
      <c r="F65" s="305"/>
      <c r="G65" s="305"/>
      <c r="H65" s="305"/>
      <c r="I65" s="305"/>
      <c r="J65" s="305"/>
      <c r="K65" s="305"/>
      <c r="L65" s="305"/>
      <c r="M65" s="305"/>
    </row>
    <row r="66" spans="1:13" x14ac:dyDescent="0.2">
      <c r="A66" s="305"/>
      <c r="B66" s="305"/>
      <c r="C66" s="305"/>
      <c r="D66" s="305"/>
      <c r="E66" s="305"/>
      <c r="F66" s="305"/>
      <c r="G66" s="305"/>
      <c r="H66" s="305"/>
      <c r="I66" s="305"/>
      <c r="J66" s="305"/>
      <c r="K66" s="305"/>
      <c r="L66" s="305"/>
      <c r="M66" s="305"/>
    </row>
    <row r="67" spans="1:13" x14ac:dyDescent="0.2">
      <c r="A67" s="305"/>
      <c r="B67" s="305"/>
      <c r="C67" s="305"/>
      <c r="D67" s="305"/>
      <c r="E67" s="305"/>
      <c r="F67" s="305"/>
      <c r="G67" s="305"/>
      <c r="H67" s="305"/>
      <c r="I67" s="305"/>
      <c r="J67" s="305"/>
      <c r="K67" s="305"/>
      <c r="L67" s="305"/>
      <c r="M67" s="305"/>
    </row>
    <row r="68" spans="1:13" x14ac:dyDescent="0.2">
      <c r="A68" s="305"/>
      <c r="B68" s="305"/>
      <c r="C68" s="305"/>
      <c r="D68" s="305"/>
      <c r="E68" s="305"/>
      <c r="F68" s="305"/>
      <c r="G68" s="305"/>
      <c r="H68" s="305"/>
      <c r="I68" s="305"/>
      <c r="J68" s="305"/>
      <c r="K68" s="305"/>
      <c r="L68" s="305"/>
      <c r="M68" s="305"/>
    </row>
    <row r="69" spans="1:13" x14ac:dyDescent="0.2">
      <c r="A69" s="305"/>
      <c r="B69" s="305"/>
      <c r="C69" s="305"/>
      <c r="D69" s="305"/>
      <c r="E69" s="305"/>
      <c r="F69" s="305"/>
      <c r="G69" s="305"/>
      <c r="H69" s="305"/>
      <c r="I69" s="305"/>
      <c r="J69" s="305"/>
      <c r="K69" s="305"/>
      <c r="L69" s="305"/>
      <c r="M69" s="305"/>
    </row>
    <row r="70" spans="1:13" x14ac:dyDescent="0.2">
      <c r="A70" s="305"/>
      <c r="B70" s="305"/>
      <c r="C70" s="305"/>
      <c r="D70" s="305"/>
      <c r="E70" s="305"/>
      <c r="F70" s="305"/>
      <c r="G70" s="305"/>
      <c r="H70" s="305"/>
      <c r="I70" s="305"/>
      <c r="J70" s="305"/>
      <c r="K70" s="305"/>
      <c r="L70" s="305"/>
      <c r="M70" s="305"/>
    </row>
    <row r="71" spans="1:13" x14ac:dyDescent="0.2">
      <c r="A71" s="305"/>
      <c r="B71" s="305"/>
      <c r="C71" s="305"/>
      <c r="D71" s="305"/>
      <c r="E71" s="305"/>
      <c r="F71" s="305"/>
      <c r="G71" s="305"/>
      <c r="H71" s="305"/>
      <c r="I71" s="305"/>
      <c r="J71" s="305"/>
      <c r="K71" s="305"/>
      <c r="L71" s="305"/>
      <c r="M71" s="305"/>
    </row>
    <row r="72" spans="1:13" x14ac:dyDescent="0.2">
      <c r="A72" s="305"/>
      <c r="B72" s="305"/>
      <c r="C72" s="305"/>
      <c r="D72" s="305"/>
      <c r="E72" s="305"/>
      <c r="F72" s="305"/>
      <c r="G72" s="305"/>
      <c r="H72" s="305"/>
      <c r="I72" s="305"/>
      <c r="J72" s="305"/>
      <c r="K72" s="305"/>
      <c r="L72" s="305"/>
      <c r="M72" s="305"/>
    </row>
    <row r="73" spans="1:13" x14ac:dyDescent="0.2">
      <c r="A73" s="305"/>
      <c r="B73" s="305"/>
      <c r="C73" s="305"/>
      <c r="D73" s="305"/>
      <c r="E73" s="305"/>
      <c r="F73" s="305"/>
      <c r="G73" s="305"/>
      <c r="H73" s="305"/>
      <c r="I73" s="305"/>
      <c r="J73" s="305"/>
      <c r="K73" s="305"/>
      <c r="L73" s="305"/>
      <c r="M73" s="305"/>
    </row>
    <row r="74" spans="1:13" x14ac:dyDescent="0.2">
      <c r="A74" s="305"/>
      <c r="B74" s="305"/>
      <c r="C74" s="305"/>
      <c r="D74" s="305"/>
      <c r="E74" s="305"/>
      <c r="F74" s="305"/>
      <c r="G74" s="305"/>
      <c r="H74" s="305"/>
      <c r="I74" s="305"/>
      <c r="J74" s="305"/>
      <c r="K74" s="305"/>
      <c r="L74" s="305"/>
      <c r="M74" s="305"/>
    </row>
    <row r="75" spans="1:13" x14ac:dyDescent="0.2">
      <c r="A75" s="305"/>
      <c r="B75" s="305"/>
      <c r="C75" s="305"/>
      <c r="D75" s="305"/>
      <c r="E75" s="305"/>
      <c r="F75" s="305"/>
      <c r="G75" s="305"/>
      <c r="H75" s="305"/>
      <c r="I75" s="305"/>
      <c r="J75" s="305"/>
      <c r="K75" s="305"/>
      <c r="L75" s="305"/>
      <c r="M75" s="305"/>
    </row>
    <row r="76" spans="1:13" x14ac:dyDescent="0.2">
      <c r="A76" s="305"/>
      <c r="B76" s="305"/>
      <c r="C76" s="305"/>
      <c r="D76" s="305"/>
      <c r="E76" s="305"/>
      <c r="F76" s="305"/>
      <c r="G76" s="305"/>
      <c r="H76" s="305"/>
      <c r="I76" s="305"/>
      <c r="J76" s="305"/>
      <c r="K76" s="305"/>
      <c r="L76" s="305"/>
      <c r="M76" s="305"/>
    </row>
    <row r="77" spans="1:13" x14ac:dyDescent="0.2">
      <c r="A77" s="305"/>
      <c r="B77" s="305"/>
      <c r="C77" s="305"/>
      <c r="D77" s="305"/>
      <c r="E77" s="305"/>
      <c r="F77" s="305"/>
      <c r="G77" s="305"/>
      <c r="H77" s="305"/>
      <c r="I77" s="305"/>
      <c r="J77" s="305"/>
      <c r="K77" s="305"/>
      <c r="L77" s="305"/>
      <c r="M77" s="305"/>
    </row>
    <row r="78" spans="1:13" x14ac:dyDescent="0.2">
      <c r="A78" s="305"/>
      <c r="B78" s="305"/>
      <c r="C78" s="305"/>
      <c r="D78" s="305"/>
      <c r="E78" s="305"/>
      <c r="F78" s="305"/>
      <c r="G78" s="305"/>
      <c r="H78" s="305"/>
      <c r="I78" s="305"/>
      <c r="J78" s="305"/>
      <c r="K78" s="305"/>
      <c r="L78" s="305"/>
      <c r="M78" s="305"/>
    </row>
    <row r="79" spans="1:13" x14ac:dyDescent="0.2">
      <c r="A79" s="305"/>
      <c r="B79" s="305"/>
      <c r="C79" s="305"/>
      <c r="D79" s="305"/>
      <c r="E79" s="305"/>
      <c r="F79" s="305"/>
      <c r="G79" s="305"/>
      <c r="H79" s="305"/>
      <c r="I79" s="305"/>
      <c r="J79" s="305"/>
      <c r="K79" s="305"/>
      <c r="L79" s="305"/>
      <c r="M79" s="305"/>
    </row>
    <row r="80" spans="1:13" x14ac:dyDescent="0.2">
      <c r="A80" s="305"/>
      <c r="B80" s="305"/>
      <c r="C80" s="305"/>
      <c r="D80" s="305"/>
      <c r="E80" s="305"/>
      <c r="F80" s="305"/>
      <c r="G80" s="305"/>
      <c r="H80" s="305"/>
      <c r="I80" s="305"/>
      <c r="J80" s="305"/>
      <c r="K80" s="305"/>
      <c r="L80" s="305"/>
      <c r="M80" s="305"/>
    </row>
    <row r="81" spans="1:13" x14ac:dyDescent="0.2">
      <c r="A81" s="305"/>
      <c r="B81" s="305"/>
      <c r="C81" s="305"/>
      <c r="D81" s="305"/>
      <c r="E81" s="305"/>
      <c r="F81" s="305"/>
      <c r="G81" s="305"/>
      <c r="H81" s="305"/>
      <c r="I81" s="305"/>
      <c r="J81" s="305"/>
      <c r="K81" s="305"/>
      <c r="L81" s="305"/>
      <c r="M81" s="305"/>
    </row>
    <row r="82" spans="1:13" x14ac:dyDescent="0.2">
      <c r="A82" s="305"/>
      <c r="B82" s="305"/>
      <c r="C82" s="305"/>
      <c r="D82" s="305"/>
      <c r="E82" s="305"/>
      <c r="F82" s="305"/>
      <c r="G82" s="305"/>
      <c r="H82" s="305"/>
      <c r="I82" s="305"/>
      <c r="J82" s="305"/>
      <c r="K82" s="305"/>
      <c r="L82" s="305"/>
      <c r="M82" s="305"/>
    </row>
    <row r="83" spans="1:13" x14ac:dyDescent="0.2">
      <c r="A83" s="305"/>
      <c r="B83" s="305"/>
      <c r="C83" s="305"/>
      <c r="D83" s="305"/>
      <c r="E83" s="305"/>
      <c r="F83" s="305"/>
      <c r="G83" s="305"/>
      <c r="H83" s="305"/>
      <c r="I83" s="305"/>
      <c r="J83" s="305"/>
      <c r="K83" s="305"/>
      <c r="L83" s="305"/>
      <c r="M83" s="305"/>
    </row>
    <row r="84" spans="1:13" x14ac:dyDescent="0.2">
      <c r="A84" s="305"/>
      <c r="B84" s="305"/>
      <c r="C84" s="305"/>
      <c r="D84" s="305"/>
      <c r="E84" s="305"/>
      <c r="F84" s="305"/>
      <c r="G84" s="305"/>
      <c r="H84" s="305"/>
      <c r="I84" s="305"/>
      <c r="J84" s="305"/>
      <c r="K84" s="305"/>
      <c r="L84" s="305"/>
      <c r="M84" s="305"/>
    </row>
    <row r="85" spans="1:13" x14ac:dyDescent="0.2">
      <c r="A85" s="305"/>
      <c r="B85" s="305"/>
      <c r="C85" s="305"/>
      <c r="D85" s="305"/>
      <c r="E85" s="305"/>
      <c r="F85" s="305"/>
      <c r="G85" s="305"/>
      <c r="H85" s="305"/>
      <c r="I85" s="305"/>
      <c r="J85" s="305"/>
      <c r="K85" s="305"/>
      <c r="L85" s="305"/>
      <c r="M85" s="305"/>
    </row>
    <row r="86" spans="1:13" x14ac:dyDescent="0.2">
      <c r="A86" s="305"/>
      <c r="B86" s="305"/>
      <c r="C86" s="305"/>
      <c r="D86" s="305"/>
      <c r="E86" s="305"/>
      <c r="F86" s="305"/>
      <c r="G86" s="305"/>
      <c r="H86" s="305"/>
      <c r="I86" s="305"/>
      <c r="J86" s="305"/>
      <c r="K86" s="305"/>
      <c r="L86" s="305"/>
      <c r="M86" s="305"/>
    </row>
    <row r="87" spans="1:13" x14ac:dyDescent="0.2">
      <c r="A87" s="305"/>
      <c r="B87" s="305"/>
      <c r="C87" s="305"/>
      <c r="D87" s="305"/>
      <c r="E87" s="305"/>
      <c r="F87" s="305"/>
      <c r="G87" s="305"/>
      <c r="H87" s="305"/>
      <c r="I87" s="305"/>
      <c r="J87" s="305"/>
      <c r="K87" s="305"/>
      <c r="L87" s="305"/>
      <c r="M87" s="305"/>
    </row>
    <row r="88" spans="1:13" x14ac:dyDescent="0.2">
      <c r="A88" s="305"/>
      <c r="B88" s="305"/>
      <c r="C88" s="305"/>
      <c r="D88" s="305"/>
      <c r="E88" s="305"/>
      <c r="F88" s="305"/>
      <c r="G88" s="305"/>
      <c r="H88" s="305"/>
      <c r="I88" s="305"/>
      <c r="J88" s="305"/>
      <c r="K88" s="305"/>
      <c r="L88" s="305"/>
      <c r="M88" s="305"/>
    </row>
    <row r="89" spans="1:13" x14ac:dyDescent="0.2">
      <c r="A89" s="305"/>
      <c r="B89" s="305"/>
      <c r="C89" s="305"/>
      <c r="D89" s="305"/>
      <c r="E89" s="305"/>
      <c r="F89" s="305"/>
      <c r="G89" s="305"/>
      <c r="H89" s="305"/>
      <c r="I89" s="305"/>
      <c r="J89" s="305"/>
      <c r="K89" s="305"/>
      <c r="L89" s="305"/>
      <c r="M89" s="305"/>
    </row>
    <row r="90" spans="1:13" x14ac:dyDescent="0.2">
      <c r="A90" s="305"/>
      <c r="B90" s="305"/>
      <c r="C90" s="305"/>
      <c r="D90" s="305"/>
      <c r="E90" s="305"/>
      <c r="F90" s="305"/>
      <c r="G90" s="305"/>
      <c r="H90" s="305"/>
      <c r="I90" s="305"/>
      <c r="J90" s="305"/>
      <c r="K90" s="305"/>
      <c r="L90" s="305"/>
      <c r="M90" s="305"/>
    </row>
    <row r="91" spans="1:13" x14ac:dyDescent="0.2">
      <c r="A91" s="305"/>
      <c r="B91" s="305"/>
      <c r="C91" s="305"/>
      <c r="D91" s="305"/>
      <c r="E91" s="305"/>
      <c r="F91" s="305"/>
      <c r="G91" s="305"/>
      <c r="H91" s="305"/>
      <c r="I91" s="305"/>
      <c r="J91" s="305"/>
      <c r="K91" s="305"/>
      <c r="L91" s="305"/>
      <c r="M91" s="305"/>
    </row>
    <row r="92" spans="1:13" x14ac:dyDescent="0.2">
      <c r="A92" s="305"/>
      <c r="B92" s="305"/>
      <c r="C92" s="305"/>
      <c r="D92" s="305"/>
      <c r="E92" s="305"/>
      <c r="F92" s="305"/>
      <c r="G92" s="305"/>
      <c r="H92" s="305"/>
      <c r="I92" s="305"/>
      <c r="J92" s="305"/>
      <c r="K92" s="305"/>
      <c r="L92" s="305"/>
      <c r="M92" s="305"/>
    </row>
    <row r="93" spans="1:13" x14ac:dyDescent="0.2">
      <c r="A93" s="305"/>
      <c r="B93" s="305"/>
      <c r="C93" s="305"/>
      <c r="D93" s="305"/>
      <c r="E93" s="305"/>
      <c r="F93" s="305"/>
      <c r="G93" s="305"/>
      <c r="H93" s="305"/>
      <c r="I93" s="305"/>
      <c r="J93" s="305"/>
      <c r="K93" s="305"/>
      <c r="L93" s="305"/>
      <c r="M93" s="305"/>
    </row>
    <row r="94" spans="1:13" x14ac:dyDescent="0.2">
      <c r="A94" s="305"/>
      <c r="B94" s="305"/>
      <c r="C94" s="305"/>
      <c r="D94" s="305"/>
      <c r="E94" s="305"/>
      <c r="F94" s="305"/>
      <c r="G94" s="305"/>
      <c r="H94" s="305"/>
      <c r="I94" s="305"/>
      <c r="J94" s="305"/>
      <c r="K94" s="305"/>
      <c r="L94" s="305"/>
      <c r="M94" s="305"/>
    </row>
    <row r="95" spans="1:13" x14ac:dyDescent="0.2">
      <c r="A95" s="305"/>
      <c r="B95" s="305"/>
      <c r="C95" s="305"/>
      <c r="D95" s="305"/>
      <c r="E95" s="305"/>
      <c r="F95" s="305"/>
      <c r="G95" s="305"/>
      <c r="H95" s="305"/>
      <c r="I95" s="305"/>
      <c r="J95" s="305"/>
      <c r="K95" s="305"/>
      <c r="L95" s="305"/>
      <c r="M95" s="305"/>
    </row>
    <row r="96" spans="1:13" x14ac:dyDescent="0.2">
      <c r="A96" s="305"/>
      <c r="B96" s="305"/>
      <c r="C96" s="305"/>
      <c r="D96" s="305"/>
      <c r="E96" s="305"/>
      <c r="F96" s="305"/>
      <c r="G96" s="305"/>
      <c r="H96" s="305"/>
      <c r="I96" s="305"/>
      <c r="J96" s="305"/>
      <c r="K96" s="305"/>
      <c r="L96" s="305"/>
      <c r="M96" s="305"/>
    </row>
    <row r="97" spans="1:13" x14ac:dyDescent="0.2">
      <c r="A97" s="305"/>
      <c r="B97" s="305"/>
      <c r="C97" s="305"/>
      <c r="D97" s="305"/>
      <c r="E97" s="305"/>
      <c r="F97" s="305"/>
      <c r="G97" s="305"/>
      <c r="H97" s="305"/>
      <c r="I97" s="305"/>
      <c r="J97" s="305"/>
      <c r="K97" s="305"/>
      <c r="L97" s="305"/>
      <c r="M97" s="305"/>
    </row>
    <row r="98" spans="1:13" x14ac:dyDescent="0.2">
      <c r="A98" s="305"/>
      <c r="B98" s="305"/>
      <c r="C98" s="305"/>
      <c r="D98" s="305"/>
      <c r="E98" s="305"/>
      <c r="F98" s="305"/>
      <c r="G98" s="305"/>
      <c r="H98" s="305"/>
      <c r="I98" s="305"/>
      <c r="J98" s="305"/>
      <c r="K98" s="305"/>
      <c r="L98" s="305"/>
      <c r="M98" s="305"/>
    </row>
    <row r="99" spans="1:13" x14ac:dyDescent="0.2">
      <c r="A99" s="305"/>
      <c r="B99" s="305"/>
      <c r="C99" s="305"/>
      <c r="D99" s="305"/>
      <c r="E99" s="305"/>
      <c r="F99" s="305"/>
      <c r="G99" s="305"/>
      <c r="H99" s="305"/>
      <c r="I99" s="305"/>
      <c r="J99" s="305"/>
      <c r="K99" s="305"/>
      <c r="L99" s="305"/>
      <c r="M99" s="305"/>
    </row>
    <row r="100" spans="1:13" x14ac:dyDescent="0.2">
      <c r="A100" s="305"/>
      <c r="B100" s="305"/>
      <c r="C100" s="305"/>
      <c r="D100" s="305"/>
      <c r="E100" s="305"/>
      <c r="F100" s="305"/>
      <c r="G100" s="305"/>
      <c r="H100" s="305"/>
      <c r="I100" s="305"/>
      <c r="J100" s="305"/>
      <c r="K100" s="305"/>
      <c r="L100" s="305"/>
      <c r="M100" s="305"/>
    </row>
    <row r="101" spans="1:13" x14ac:dyDescent="0.2">
      <c r="A101" s="305"/>
      <c r="B101" s="305"/>
      <c r="C101" s="305"/>
      <c r="D101" s="305"/>
      <c r="E101" s="305"/>
      <c r="F101" s="305"/>
      <c r="G101" s="305"/>
      <c r="H101" s="305"/>
      <c r="I101" s="305"/>
      <c r="J101" s="305"/>
      <c r="K101" s="305"/>
      <c r="L101" s="305"/>
      <c r="M101" s="305"/>
    </row>
    <row r="102" spans="1:13" x14ac:dyDescent="0.2">
      <c r="A102" s="305"/>
      <c r="B102" s="305"/>
      <c r="C102" s="305"/>
      <c r="D102" s="305"/>
      <c r="E102" s="305"/>
      <c r="F102" s="305"/>
      <c r="G102" s="305"/>
      <c r="H102" s="305"/>
      <c r="I102" s="305"/>
      <c r="J102" s="305"/>
      <c r="K102" s="305"/>
      <c r="L102" s="305"/>
      <c r="M102" s="305"/>
    </row>
    <row r="103" spans="1:13" x14ac:dyDescent="0.2">
      <c r="A103" s="305"/>
      <c r="B103" s="305"/>
      <c r="C103" s="305"/>
      <c r="D103" s="305"/>
      <c r="E103" s="305"/>
      <c r="F103" s="305"/>
      <c r="G103" s="305"/>
      <c r="H103" s="305"/>
      <c r="I103" s="305"/>
      <c r="J103" s="305"/>
      <c r="K103" s="305"/>
      <c r="L103" s="305"/>
      <c r="M103" s="305"/>
    </row>
    <row r="104" spans="1:13" x14ac:dyDescent="0.2">
      <c r="A104" s="305"/>
      <c r="B104" s="305"/>
      <c r="C104" s="305"/>
      <c r="D104" s="305"/>
      <c r="E104" s="305"/>
      <c r="F104" s="305"/>
      <c r="G104" s="305"/>
      <c r="H104" s="305"/>
      <c r="I104" s="305"/>
      <c r="J104" s="305"/>
      <c r="K104" s="305"/>
      <c r="L104" s="305"/>
      <c r="M104" s="305"/>
    </row>
    <row r="105" spans="1:13" x14ac:dyDescent="0.2">
      <c r="A105" s="305"/>
      <c r="B105" s="305"/>
      <c r="C105" s="305"/>
      <c r="D105" s="305"/>
      <c r="E105" s="305"/>
      <c r="F105" s="305"/>
      <c r="G105" s="305"/>
      <c r="H105" s="305"/>
      <c r="I105" s="305"/>
      <c r="J105" s="305"/>
      <c r="K105" s="305"/>
      <c r="L105" s="305"/>
      <c r="M105" s="305"/>
    </row>
    <row r="106" spans="1:13" x14ac:dyDescent="0.2">
      <c r="A106" s="305"/>
      <c r="B106" s="305"/>
      <c r="C106" s="305"/>
      <c r="D106" s="305"/>
      <c r="E106" s="305"/>
      <c r="F106" s="305"/>
      <c r="G106" s="305"/>
      <c r="H106" s="305"/>
      <c r="I106" s="305"/>
      <c r="J106" s="305"/>
      <c r="K106" s="305"/>
      <c r="L106" s="305"/>
      <c r="M106" s="305"/>
    </row>
    <row r="107" spans="1:13" x14ac:dyDescent="0.2">
      <c r="A107" s="305"/>
      <c r="B107" s="305"/>
      <c r="C107" s="305"/>
      <c r="D107" s="305"/>
      <c r="E107" s="305"/>
      <c r="F107" s="305"/>
      <c r="G107" s="305"/>
      <c r="H107" s="305"/>
      <c r="I107" s="305"/>
      <c r="J107" s="305"/>
      <c r="K107" s="305"/>
      <c r="L107" s="305"/>
      <c r="M107" s="305"/>
    </row>
    <row r="108" spans="1:13" x14ac:dyDescent="0.2">
      <c r="A108" s="305"/>
      <c r="B108" s="305"/>
      <c r="C108" s="305"/>
      <c r="D108" s="305"/>
      <c r="E108" s="305"/>
      <c r="F108" s="305"/>
      <c r="G108" s="305"/>
      <c r="H108" s="305"/>
      <c r="I108" s="305"/>
      <c r="J108" s="305"/>
      <c r="K108" s="305"/>
      <c r="L108" s="305"/>
      <c r="M108" s="305"/>
    </row>
    <row r="109" spans="1:13" x14ac:dyDescent="0.2">
      <c r="A109" s="305"/>
      <c r="B109" s="305"/>
      <c r="C109" s="305"/>
      <c r="D109" s="305"/>
      <c r="E109" s="305"/>
      <c r="F109" s="305"/>
      <c r="G109" s="305"/>
      <c r="H109" s="305"/>
      <c r="I109" s="305"/>
      <c r="J109" s="305"/>
      <c r="K109" s="305"/>
      <c r="L109" s="305"/>
      <c r="M109" s="305"/>
    </row>
    <row r="110" spans="1:13" x14ac:dyDescent="0.2">
      <c r="A110" s="305"/>
      <c r="B110" s="305"/>
      <c r="C110" s="305"/>
      <c r="D110" s="305"/>
      <c r="E110" s="305"/>
      <c r="F110" s="305"/>
      <c r="G110" s="305"/>
      <c r="H110" s="305"/>
      <c r="I110" s="305"/>
      <c r="J110" s="305"/>
      <c r="K110" s="305"/>
      <c r="L110" s="305"/>
      <c r="M110" s="305"/>
    </row>
    <row r="111" spans="1:13" x14ac:dyDescent="0.2">
      <c r="A111" s="305"/>
      <c r="B111" s="305"/>
      <c r="C111" s="305"/>
      <c r="D111" s="305"/>
      <c r="E111" s="305"/>
      <c r="F111" s="305"/>
      <c r="G111" s="305"/>
      <c r="H111" s="305"/>
      <c r="I111" s="305"/>
      <c r="J111" s="305"/>
      <c r="K111" s="305"/>
      <c r="L111" s="305"/>
      <c r="M111" s="305"/>
    </row>
    <row r="112" spans="1:13" x14ac:dyDescent="0.2">
      <c r="A112" s="305"/>
      <c r="B112" s="305"/>
      <c r="C112" s="305"/>
      <c r="D112" s="305"/>
      <c r="E112" s="305"/>
      <c r="F112" s="305"/>
      <c r="G112" s="305"/>
      <c r="H112" s="305"/>
      <c r="I112" s="305"/>
      <c r="J112" s="305"/>
      <c r="K112" s="305"/>
      <c r="L112" s="305"/>
      <c r="M112" s="305"/>
    </row>
    <row r="113" spans="1:13" x14ac:dyDescent="0.2">
      <c r="A113" s="305"/>
      <c r="B113" s="305"/>
      <c r="C113" s="305"/>
      <c r="D113" s="305"/>
      <c r="E113" s="305"/>
      <c r="F113" s="305"/>
      <c r="G113" s="305"/>
      <c r="H113" s="305"/>
      <c r="I113" s="305"/>
      <c r="J113" s="305"/>
      <c r="K113" s="305"/>
      <c r="L113" s="305"/>
      <c r="M113" s="305"/>
    </row>
    <row r="114" spans="1:13" x14ac:dyDescent="0.2">
      <c r="A114" s="305"/>
      <c r="B114" s="305"/>
      <c r="C114" s="305"/>
      <c r="D114" s="305"/>
      <c r="E114" s="305"/>
      <c r="F114" s="305"/>
      <c r="G114" s="305"/>
      <c r="H114" s="305"/>
      <c r="I114" s="305"/>
      <c r="J114" s="305"/>
      <c r="K114" s="305"/>
      <c r="L114" s="305"/>
      <c r="M114" s="305"/>
    </row>
    <row r="115" spans="1:13" x14ac:dyDescent="0.2">
      <c r="A115" s="305"/>
      <c r="B115" s="305"/>
      <c r="C115" s="305"/>
      <c r="D115" s="305"/>
      <c r="E115" s="305"/>
      <c r="F115" s="305"/>
      <c r="G115" s="305"/>
      <c r="H115" s="305"/>
      <c r="I115" s="305"/>
      <c r="J115" s="305"/>
      <c r="K115" s="305"/>
      <c r="L115" s="305"/>
      <c r="M115" s="305"/>
    </row>
    <row r="116" spans="1:13" x14ac:dyDescent="0.2">
      <c r="A116" s="305"/>
      <c r="B116" s="305"/>
      <c r="C116" s="305"/>
      <c r="D116" s="305"/>
      <c r="E116" s="305"/>
      <c r="F116" s="305"/>
      <c r="G116" s="305"/>
      <c r="H116" s="305"/>
      <c r="I116" s="305"/>
      <c r="J116" s="305"/>
      <c r="K116" s="305"/>
      <c r="L116" s="305"/>
      <c r="M116" s="305"/>
    </row>
    <row r="117" spans="1:13" x14ac:dyDescent="0.2">
      <c r="A117" s="305"/>
      <c r="B117" s="305"/>
      <c r="C117" s="305"/>
      <c r="D117" s="305"/>
      <c r="E117" s="305"/>
      <c r="F117" s="305"/>
      <c r="G117" s="305"/>
      <c r="H117" s="305"/>
      <c r="I117" s="305"/>
      <c r="J117" s="305"/>
      <c r="K117" s="305"/>
      <c r="L117" s="305"/>
      <c r="M117" s="305"/>
    </row>
    <row r="118" spans="1:13" x14ac:dyDescent="0.2">
      <c r="A118" s="305"/>
      <c r="B118" s="305"/>
      <c r="C118" s="305"/>
      <c r="D118" s="305"/>
      <c r="E118" s="305"/>
      <c r="F118" s="305"/>
      <c r="G118" s="305"/>
      <c r="H118" s="305"/>
      <c r="I118" s="305"/>
      <c r="J118" s="305"/>
      <c r="K118" s="305"/>
      <c r="L118" s="305"/>
      <c r="M118" s="305"/>
    </row>
    <row r="119" spans="1:13" x14ac:dyDescent="0.2">
      <c r="A119" s="305"/>
      <c r="B119" s="305"/>
      <c r="C119" s="305"/>
      <c r="D119" s="305"/>
      <c r="E119" s="305"/>
      <c r="F119" s="305"/>
      <c r="G119" s="305"/>
      <c r="H119" s="305"/>
      <c r="I119" s="305"/>
      <c r="J119" s="305"/>
      <c r="K119" s="305"/>
      <c r="L119" s="305"/>
      <c r="M119" s="305"/>
    </row>
    <row r="120" spans="1:13" x14ac:dyDescent="0.2">
      <c r="A120" s="305"/>
      <c r="B120" s="305"/>
      <c r="C120" s="305"/>
      <c r="D120" s="305"/>
      <c r="E120" s="305"/>
      <c r="F120" s="305"/>
      <c r="G120" s="305"/>
      <c r="H120" s="305"/>
      <c r="I120" s="305"/>
      <c r="J120" s="305"/>
      <c r="K120" s="305"/>
      <c r="L120" s="305"/>
      <c r="M120" s="305"/>
    </row>
    <row r="121" spans="1:13" x14ac:dyDescent="0.2">
      <c r="A121" s="305"/>
      <c r="B121" s="305"/>
      <c r="C121" s="305"/>
      <c r="D121" s="305"/>
      <c r="E121" s="305"/>
      <c r="F121" s="305"/>
      <c r="G121" s="305"/>
      <c r="H121" s="305"/>
      <c r="I121" s="305"/>
      <c r="J121" s="305"/>
      <c r="K121" s="305"/>
      <c r="L121" s="305"/>
      <c r="M121" s="305"/>
    </row>
  </sheetData>
  <pageMargins left="0.5" right="0.5" top="0.75" bottom="0.75" header="0.5" footer="0.5"/>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102"/>
  <sheetViews>
    <sheetView zoomScaleNormal="100" workbookViewId="0">
      <selection activeCell="C18" sqref="C18"/>
    </sheetView>
  </sheetViews>
  <sheetFormatPr defaultRowHeight="12.75" x14ac:dyDescent="0.2"/>
  <cols>
    <col min="1" max="1" width="9.140625" style="186"/>
    <col min="2" max="2" width="2.5703125" style="186" customWidth="1"/>
    <col min="3" max="12" width="12.28515625" style="186" customWidth="1"/>
    <col min="13" max="13" width="2.28515625" style="186" customWidth="1"/>
    <col min="14" max="14" width="14.85546875" style="186" bestFit="1" customWidth="1"/>
    <col min="15" max="16384" width="9.140625" style="186"/>
  </cols>
  <sheetData>
    <row r="1" spans="1:16" x14ac:dyDescent="0.2">
      <c r="A1" s="320" t="str">
        <f>"Residential Tonnages by Commodity:  "&amp;TEXT(A7,"mmmm")&amp;" - "&amp;TEXT(A18,"mmmm")</f>
        <v>Residential Tonnages by Commodity:  May - April</v>
      </c>
      <c r="B1" s="319"/>
    </row>
    <row r="2" spans="1:16" ht="13.5" customHeight="1" x14ac:dyDescent="0.2">
      <c r="A2" s="318" t="str">
        <f>'WUTC_KENT_MF (2)'!A1</f>
        <v>Kent-Meridian Disposal</v>
      </c>
      <c r="B2" s="318"/>
    </row>
    <row r="3" spans="1:16" ht="13.5" customHeight="1" x14ac:dyDescent="0.2">
      <c r="A3" s="318"/>
      <c r="B3" s="318"/>
    </row>
    <row r="4" spans="1:16" x14ac:dyDescent="0.2">
      <c r="A4" s="319"/>
      <c r="B4" s="326"/>
      <c r="C4" s="316" t="s">
        <v>21</v>
      </c>
      <c r="D4" s="316" t="s">
        <v>22</v>
      </c>
      <c r="E4" s="316" t="s">
        <v>55</v>
      </c>
      <c r="F4" s="316" t="s">
        <v>23</v>
      </c>
      <c r="G4" s="316" t="s">
        <v>24</v>
      </c>
      <c r="H4" s="316" t="s">
        <v>25</v>
      </c>
      <c r="I4" s="316" t="s">
        <v>26</v>
      </c>
      <c r="J4" s="316" t="s">
        <v>27</v>
      </c>
      <c r="K4" s="316" t="s">
        <v>28</v>
      </c>
      <c r="L4" s="316" t="s">
        <v>29</v>
      </c>
      <c r="M4" s="316"/>
      <c r="N4" s="316" t="s">
        <v>30</v>
      </c>
    </row>
    <row r="5" spans="1:16" s="322" customFormat="1" x14ac:dyDescent="0.2">
      <c r="A5" s="325"/>
      <c r="B5" s="325"/>
      <c r="C5" s="323">
        <v>55</v>
      </c>
      <c r="D5" s="324">
        <v>57</v>
      </c>
      <c r="E5" s="324">
        <v>58</v>
      </c>
      <c r="F5" s="323">
        <v>53</v>
      </c>
      <c r="G5" s="323">
        <v>50</v>
      </c>
      <c r="H5" s="323">
        <v>60</v>
      </c>
      <c r="I5" s="323">
        <v>54</v>
      </c>
      <c r="J5" s="323">
        <v>54</v>
      </c>
      <c r="K5" s="323">
        <v>51</v>
      </c>
      <c r="L5" s="323">
        <v>59</v>
      </c>
    </row>
    <row r="6" spans="1:16" x14ac:dyDescent="0.2">
      <c r="A6" s="313"/>
      <c r="B6" s="305"/>
      <c r="C6" s="306"/>
      <c r="D6" s="306"/>
      <c r="E6" s="306"/>
      <c r="F6" s="306"/>
      <c r="G6" s="306"/>
      <c r="H6" s="306"/>
      <c r="I6" s="306"/>
      <c r="J6" s="306"/>
      <c r="L6" s="305"/>
      <c r="M6" s="305"/>
      <c r="N6" s="306" t="s">
        <v>31</v>
      </c>
    </row>
    <row r="7" spans="1:16" x14ac:dyDescent="0.2">
      <c r="A7" s="313">
        <f>'Multi_Family (2)'!C6</f>
        <v>42155</v>
      </c>
      <c r="B7" s="305"/>
      <c r="C7" s="307">
        <f>HLOOKUP($A7,'Multi_Family (2)'!$C$6:$N$79,C$5,FALSE)</f>
        <v>2.3400000000000001E-2</v>
      </c>
      <c r="D7" s="311">
        <f>HLOOKUP($A7,'Multi_Family (2)'!$C$6:$N$79,D$5,FALSE)</f>
        <v>0.55161600000000011</v>
      </c>
      <c r="E7" s="311">
        <f>HLOOKUP($A7,'Multi_Family (2)'!$C$6:$N$79,E$5,FALSE)</f>
        <v>0</v>
      </c>
      <c r="F7" s="307">
        <f>HLOOKUP($A7,'Multi_Family (2)'!$C$6:$N$79,F$5,FALSE)</f>
        <v>5.1480000000000005E-2</v>
      </c>
      <c r="G7" s="307">
        <f>HLOOKUP($A7,'Multi_Family (2)'!$C$6:$N$79,G$5,FALSE)</f>
        <v>0.60840000000000005</v>
      </c>
      <c r="H7" s="307">
        <f>HLOOKUP($A7,'Multi_Family (2)'!$C$6:$N$79,H$5,FALSE)</f>
        <v>1.0040159999999996</v>
      </c>
      <c r="I7" s="307">
        <f>HLOOKUP($A7,'Multi_Family (2)'!$C$6:$N$79,I$5,FALSE)/2</f>
        <v>7.0044000000000009E-2</v>
      </c>
      <c r="J7" s="307">
        <f>HLOOKUP($A7,'Multi_Family (2)'!$C$6:$N$79,J$5,FALSE)/2</f>
        <v>7.0044000000000009E-2</v>
      </c>
      <c r="K7" s="307">
        <f>HLOOKUP($A7,'Multi_Family (2)'!$C$6:$N$79,K$5,FALSE)</f>
        <v>0.55598400000000003</v>
      </c>
      <c r="L7" s="311">
        <f>HLOOKUP($A7,'Multi_Family (2)'!$C$6:$N$79,L$5,FALSE)</f>
        <v>0.1850160000000004</v>
      </c>
      <c r="M7" s="70"/>
      <c r="N7" s="70">
        <f t="shared" ref="N7:N18" si="0">SUM(C7:L7)</f>
        <v>3.1200000000000006</v>
      </c>
      <c r="P7" s="321"/>
    </row>
    <row r="8" spans="1:16" x14ac:dyDescent="0.2">
      <c r="A8" s="313">
        <f t="shared" ref="A8:A18" si="1">EOMONTH(A7,1)</f>
        <v>42185</v>
      </c>
      <c r="B8" s="305"/>
      <c r="C8" s="307">
        <f>HLOOKUP($A8,'Multi_Family (2)'!$C$6:$N$79,C$5,FALSE)</f>
        <v>2.5499999999999998E-2</v>
      </c>
      <c r="D8" s="311">
        <f>HLOOKUP($A8,'Multi_Family (2)'!$C$6:$N$79,D$5,FALSE)</f>
        <v>0.60111999999999999</v>
      </c>
      <c r="E8" s="311">
        <f>HLOOKUP($A8,'Multi_Family (2)'!$C$6:$N$79,E$5,FALSE)</f>
        <v>0</v>
      </c>
      <c r="F8" s="307">
        <f>HLOOKUP($A8,'Multi_Family (2)'!$C$6:$N$79,F$5,FALSE)</f>
        <v>5.6100000000000004E-2</v>
      </c>
      <c r="G8" s="307">
        <f>HLOOKUP($A8,'Multi_Family (2)'!$C$6:$N$79,G$5,FALSE)</f>
        <v>0.66300000000000003</v>
      </c>
      <c r="H8" s="307">
        <f>HLOOKUP($A8,'Multi_Family (2)'!$C$6:$N$79,H$5,FALSE)</f>
        <v>1.0941199999999993</v>
      </c>
      <c r="I8" s="307">
        <f>HLOOKUP($A8,'Multi_Family (2)'!$C$6:$N$79,I$5,FALSE)/2</f>
        <v>7.6330000000000009E-2</v>
      </c>
      <c r="J8" s="307">
        <f>HLOOKUP($A8,'Multi_Family (2)'!$C$6:$N$79,J$5,FALSE)/2</f>
        <v>7.6330000000000009E-2</v>
      </c>
      <c r="K8" s="307">
        <f>HLOOKUP($A8,'Multi_Family (2)'!$C$6:$N$79,K$5,FALSE)</f>
        <v>0.60587999999999997</v>
      </c>
      <c r="L8" s="311">
        <f>HLOOKUP($A8,'Multi_Family (2)'!$C$6:$N$79,L$5,FALSE)</f>
        <v>0.20162000000000044</v>
      </c>
      <c r="M8" s="70"/>
      <c r="N8" s="70">
        <f t="shared" si="0"/>
        <v>3.4</v>
      </c>
      <c r="P8" s="321"/>
    </row>
    <row r="9" spans="1:16" x14ac:dyDescent="0.2">
      <c r="A9" s="313">
        <f t="shared" si="1"/>
        <v>42216</v>
      </c>
      <c r="B9" s="305"/>
      <c r="C9" s="307">
        <f>HLOOKUP($A9,'Multi_Family (2)'!$C$6:$N$79,C$5,FALSE)</f>
        <v>2.1299999999999999E-2</v>
      </c>
      <c r="D9" s="311">
        <f>HLOOKUP($A9,'Multi_Family (2)'!$C$6:$N$79,D$5,FALSE)</f>
        <v>0.502112</v>
      </c>
      <c r="E9" s="311">
        <f>HLOOKUP($A9,'Multi_Family (2)'!$C$6:$N$79,E$5,FALSE)</f>
        <v>0</v>
      </c>
      <c r="F9" s="307">
        <f>HLOOKUP($A9,'Multi_Family (2)'!$C$6:$N$79,F$5,FALSE)</f>
        <v>4.6859999999999999E-2</v>
      </c>
      <c r="G9" s="307">
        <f>HLOOKUP($A9,'Multi_Family (2)'!$C$6:$N$79,G$5,FALSE)</f>
        <v>0.55379999999999996</v>
      </c>
      <c r="H9" s="307">
        <f>HLOOKUP($A9,'Multi_Family (2)'!$C$6:$N$79,H$5,FALSE)</f>
        <v>0.91391199999999939</v>
      </c>
      <c r="I9" s="307">
        <f>HLOOKUP($A9,'Multi_Family (2)'!$C$6:$N$79,I$5,FALSE)/2</f>
        <v>6.3757999999999995E-2</v>
      </c>
      <c r="J9" s="307">
        <f>HLOOKUP($A9,'Multi_Family (2)'!$C$6:$N$79,J$5,FALSE)/2</f>
        <v>6.3757999999999995E-2</v>
      </c>
      <c r="K9" s="307">
        <f>HLOOKUP($A9,'Multi_Family (2)'!$C$6:$N$79,K$5,FALSE)</f>
        <v>0.50608799999999998</v>
      </c>
      <c r="L9" s="311">
        <f>HLOOKUP($A9,'Multi_Family (2)'!$C$6:$N$79,L$5,FALSE)</f>
        <v>0.16841200000000037</v>
      </c>
      <c r="M9" s="70"/>
      <c r="N9" s="70">
        <f t="shared" si="0"/>
        <v>2.84</v>
      </c>
      <c r="P9" s="321"/>
    </row>
    <row r="10" spans="1:16" x14ac:dyDescent="0.2">
      <c r="A10" s="313">
        <f t="shared" si="1"/>
        <v>42247</v>
      </c>
      <c r="B10" s="305"/>
      <c r="C10" s="307">
        <f>HLOOKUP($A10,'Multi_Family (2)'!$C$6:$N$79,C$5,FALSE)</f>
        <v>2.3924999999999998E-2</v>
      </c>
      <c r="D10" s="311">
        <f>HLOOKUP($A10,'Multi_Family (2)'!$C$6:$N$79,D$5,FALSE)</f>
        <v>0.56399200000000005</v>
      </c>
      <c r="E10" s="311">
        <f>HLOOKUP($A10,'Multi_Family (2)'!$C$6:$N$79,E$5,FALSE)</f>
        <v>0</v>
      </c>
      <c r="F10" s="307">
        <f>HLOOKUP($A10,'Multi_Family (2)'!$C$6:$N$79,F$5,FALSE)</f>
        <v>5.2635000000000001E-2</v>
      </c>
      <c r="G10" s="307">
        <f>HLOOKUP($A10,'Multi_Family (2)'!$C$6:$N$79,G$5,FALSE)</f>
        <v>0.62204999999999999</v>
      </c>
      <c r="H10" s="307">
        <f>HLOOKUP($A10,'Multi_Family (2)'!$C$6:$N$79,H$5,FALSE)</f>
        <v>1.0265419999999996</v>
      </c>
      <c r="I10" s="307">
        <f>HLOOKUP($A10,'Multi_Family (2)'!$C$6:$N$79,I$5,FALSE)/2</f>
        <v>7.1615499999999999E-2</v>
      </c>
      <c r="J10" s="307">
        <f>HLOOKUP($A10,'Multi_Family (2)'!$C$6:$N$79,J$5,FALSE)/2</f>
        <v>7.1615499999999999E-2</v>
      </c>
      <c r="K10" s="307">
        <f>HLOOKUP($A10,'Multi_Family (2)'!$C$6:$N$79,K$5,FALSE)</f>
        <v>0.56845800000000002</v>
      </c>
      <c r="L10" s="311">
        <f>HLOOKUP($A10,'Multi_Family (2)'!$C$6:$N$79,L$5,FALSE)</f>
        <v>0.18916700000000042</v>
      </c>
      <c r="M10" s="70"/>
      <c r="N10" s="70">
        <f t="shared" si="0"/>
        <v>3.19</v>
      </c>
      <c r="P10" s="321"/>
    </row>
    <row r="11" spans="1:16" x14ac:dyDescent="0.2">
      <c r="A11" s="313">
        <f t="shared" si="1"/>
        <v>42277</v>
      </c>
      <c r="B11" s="305"/>
      <c r="C11" s="307">
        <f>HLOOKUP($A11,'Multi_Family (2)'!$C$6:$N$79,C$5,FALSE)</f>
        <v>2.205E-2</v>
      </c>
      <c r="D11" s="311">
        <f>HLOOKUP($A11,'Multi_Family (2)'!$C$6:$N$79,D$5,FALSE)</f>
        <v>0.51979200000000003</v>
      </c>
      <c r="E11" s="311">
        <f>HLOOKUP($A11,'Multi_Family (2)'!$C$6:$N$79,E$5,FALSE)</f>
        <v>0</v>
      </c>
      <c r="F11" s="307">
        <f>HLOOKUP($A11,'Multi_Family (2)'!$C$6:$N$79,F$5,FALSE)</f>
        <v>4.8510000000000005E-2</v>
      </c>
      <c r="G11" s="307">
        <f>HLOOKUP($A11,'Multi_Family (2)'!$C$6:$N$79,G$5,FALSE)</f>
        <v>0.57330000000000003</v>
      </c>
      <c r="H11" s="307">
        <f>HLOOKUP($A11,'Multi_Family (2)'!$C$6:$N$79,H$5,FALSE)</f>
        <v>0.94609199999999949</v>
      </c>
      <c r="I11" s="307">
        <f>HLOOKUP($A11,'Multi_Family (2)'!$C$6:$N$79,I$5,FALSE)/2</f>
        <v>6.6003000000000006E-2</v>
      </c>
      <c r="J11" s="307">
        <f>HLOOKUP($A11,'Multi_Family (2)'!$C$6:$N$79,J$5,FALSE)/2</f>
        <v>6.6003000000000006E-2</v>
      </c>
      <c r="K11" s="307">
        <f>HLOOKUP($A11,'Multi_Family (2)'!$C$6:$N$79,K$5,FALSE)</f>
        <v>0.52390799999999993</v>
      </c>
      <c r="L11" s="311">
        <f>HLOOKUP($A11,'Multi_Family (2)'!$C$6:$N$79,L$5,FALSE)</f>
        <v>0.17434200000000039</v>
      </c>
      <c r="M11" s="70"/>
      <c r="N11" s="70">
        <f t="shared" si="0"/>
        <v>2.9399999999999995</v>
      </c>
      <c r="P11" s="321"/>
    </row>
    <row r="12" spans="1:16" x14ac:dyDescent="0.2">
      <c r="A12" s="313">
        <f t="shared" si="1"/>
        <v>42308</v>
      </c>
      <c r="B12" s="305"/>
      <c r="C12" s="307">
        <f>HLOOKUP($A12,'Multi_Family (2)'!$C$6:$N$79,C$5,FALSE)</f>
        <v>2.3099999999999999E-2</v>
      </c>
      <c r="D12" s="311">
        <f>HLOOKUP($A12,'Multi_Family (2)'!$C$6:$N$79,D$5,FALSE)</f>
        <v>0.54454400000000003</v>
      </c>
      <c r="E12" s="311">
        <f>HLOOKUP($A12,'Multi_Family (2)'!$C$6:$N$79,E$5,FALSE)</f>
        <v>0</v>
      </c>
      <c r="F12" s="307">
        <f>HLOOKUP($A12,'Multi_Family (2)'!$C$6:$N$79,F$5,FALSE)</f>
        <v>5.0820000000000004E-2</v>
      </c>
      <c r="G12" s="307">
        <f>HLOOKUP($A12,'Multi_Family (2)'!$C$6:$N$79,G$5,FALSE)</f>
        <v>0.60060000000000002</v>
      </c>
      <c r="H12" s="307">
        <f>HLOOKUP($A12,'Multi_Family (2)'!$C$6:$N$79,H$5,FALSE)</f>
        <v>0.9911439999999998</v>
      </c>
      <c r="I12" s="307">
        <f>HLOOKUP($A12,'Multi_Family (2)'!$C$6:$N$79,I$5,FALSE)/2</f>
        <v>6.9145999999999999E-2</v>
      </c>
      <c r="J12" s="307">
        <f>HLOOKUP($A12,'Multi_Family (2)'!$C$6:$N$79,J$5,FALSE)/2</f>
        <v>6.9145999999999999E-2</v>
      </c>
      <c r="K12" s="307">
        <f>HLOOKUP($A12,'Multi_Family (2)'!$C$6:$N$79,K$5,FALSE)</f>
        <v>0.54885600000000001</v>
      </c>
      <c r="L12" s="311">
        <f>HLOOKUP($A12,'Multi_Family (2)'!$C$6:$N$79,L$5,FALSE)</f>
        <v>0.18264400000000042</v>
      </c>
      <c r="M12" s="70"/>
      <c r="N12" s="70">
        <f t="shared" si="0"/>
        <v>3.0799999999999996</v>
      </c>
      <c r="P12" s="321"/>
    </row>
    <row r="13" spans="1:16" x14ac:dyDescent="0.2">
      <c r="A13" s="313">
        <f t="shared" si="1"/>
        <v>42338</v>
      </c>
      <c r="B13" s="305"/>
      <c r="C13" s="307">
        <f>HLOOKUP($A13,'Multi_Family (2)'!$C$6:$N$79,C$5,FALSE)</f>
        <v>2.8725000000000001E-2</v>
      </c>
      <c r="D13" s="311">
        <f>HLOOKUP($A13,'Multi_Family (2)'!$C$6:$N$79,D$5,FALSE)</f>
        <v>0.67714400000000008</v>
      </c>
      <c r="E13" s="311">
        <f>HLOOKUP($A13,'Multi_Family (2)'!$C$6:$N$79,E$5,FALSE)</f>
        <v>0</v>
      </c>
      <c r="F13" s="307">
        <f>HLOOKUP($A13,'Multi_Family (2)'!$C$6:$N$79,F$5,FALSE)</f>
        <v>6.3195000000000001E-2</v>
      </c>
      <c r="G13" s="307">
        <f>HLOOKUP($A13,'Multi_Family (2)'!$C$6:$N$79,G$5,FALSE)</f>
        <v>0.74685000000000001</v>
      </c>
      <c r="H13" s="307">
        <f>HLOOKUP($A13,'Multi_Family (2)'!$C$6:$N$79,H$5,FALSE)</f>
        <v>1.2324939999999991</v>
      </c>
      <c r="I13" s="307">
        <f>HLOOKUP($A13,'Multi_Family (2)'!$C$6:$N$79,I$5,FALSE)/2</f>
        <v>8.5983500000000004E-2</v>
      </c>
      <c r="J13" s="307">
        <f>HLOOKUP($A13,'Multi_Family (2)'!$C$6:$N$79,J$5,FALSE)/2</f>
        <v>8.5983500000000004E-2</v>
      </c>
      <c r="K13" s="307">
        <f>HLOOKUP($A13,'Multi_Family (2)'!$C$6:$N$79,K$5,FALSE)</f>
        <v>0.68250600000000006</v>
      </c>
      <c r="L13" s="311">
        <f>HLOOKUP($A13,'Multi_Family (2)'!$C$6:$N$79,L$5,FALSE)</f>
        <v>0.22711900000000051</v>
      </c>
      <c r="M13" s="70"/>
      <c r="N13" s="70">
        <f t="shared" si="0"/>
        <v>3.83</v>
      </c>
      <c r="P13" s="321"/>
    </row>
    <row r="14" spans="1:16" x14ac:dyDescent="0.2">
      <c r="A14" s="313">
        <f t="shared" si="1"/>
        <v>42369</v>
      </c>
      <c r="B14" s="305"/>
      <c r="C14" s="307">
        <f>HLOOKUP($A14,'Multi_Family (2)'!$C$6:$N$79,C$5,FALSE)</f>
        <v>2.5649999999999999E-2</v>
      </c>
      <c r="D14" s="311">
        <f>HLOOKUP($A14,'Multi_Family (2)'!$C$6:$N$79,D$5,FALSE)</f>
        <v>0.60465600000000008</v>
      </c>
      <c r="E14" s="311">
        <f>HLOOKUP($A14,'Multi_Family (2)'!$C$6:$N$79,E$5,FALSE)</f>
        <v>0</v>
      </c>
      <c r="F14" s="307">
        <f>HLOOKUP($A14,'Multi_Family (2)'!$C$6:$N$79,F$5,FALSE)</f>
        <v>5.6430000000000001E-2</v>
      </c>
      <c r="G14" s="307">
        <f>HLOOKUP($A14,'Multi_Family (2)'!$C$6:$N$79,G$5,FALSE)</f>
        <v>0.66690000000000005</v>
      </c>
      <c r="H14" s="307">
        <f>HLOOKUP($A14,'Multi_Family (2)'!$C$6:$N$79,H$5,FALSE)</f>
        <v>1.1005559999999996</v>
      </c>
      <c r="I14" s="307">
        <f>HLOOKUP($A14,'Multi_Family (2)'!$C$6:$N$79,I$5,FALSE)/2</f>
        <v>7.6779E-2</v>
      </c>
      <c r="J14" s="307">
        <f>HLOOKUP($A14,'Multi_Family (2)'!$C$6:$N$79,J$5,FALSE)/2</f>
        <v>7.6779E-2</v>
      </c>
      <c r="K14" s="307">
        <f>HLOOKUP($A14,'Multi_Family (2)'!$C$6:$N$79,K$5,FALSE)</f>
        <v>0.60944399999999999</v>
      </c>
      <c r="L14" s="311">
        <f>HLOOKUP($A14,'Multi_Family (2)'!$C$6:$N$79,L$5,FALSE)</f>
        <v>0.20280600000000043</v>
      </c>
      <c r="M14" s="70"/>
      <c r="N14" s="70">
        <f t="shared" si="0"/>
        <v>3.4200000000000004</v>
      </c>
      <c r="P14" s="321"/>
    </row>
    <row r="15" spans="1:16" x14ac:dyDescent="0.2">
      <c r="A15" s="313">
        <f t="shared" si="1"/>
        <v>42400</v>
      </c>
      <c r="B15" s="305"/>
      <c r="C15" s="307">
        <f>HLOOKUP($A15,'Multi_Family (2)'!$C$6:$N$79,C$5,FALSE)</f>
        <v>2.76E-2</v>
      </c>
      <c r="D15" s="311">
        <f>HLOOKUP($A15,'Multi_Family (2)'!$C$6:$N$79,D$5,FALSE)</f>
        <v>0.65062400000000009</v>
      </c>
      <c r="E15" s="311">
        <f>HLOOKUP($A15,'Multi_Family (2)'!$C$6:$N$79,E$5,FALSE)</f>
        <v>0</v>
      </c>
      <c r="F15" s="307">
        <f>HLOOKUP($A15,'Multi_Family (2)'!$C$6:$N$79,F$5,FALSE)</f>
        <v>6.0720000000000003E-2</v>
      </c>
      <c r="G15" s="307">
        <f>HLOOKUP($A15,'Multi_Family (2)'!$C$6:$N$79,G$5,FALSE)</f>
        <v>0.71760000000000002</v>
      </c>
      <c r="H15" s="307">
        <f>HLOOKUP($A15,'Multi_Family (2)'!$C$6:$N$79,H$5,FALSE)</f>
        <v>1.1842239999999995</v>
      </c>
      <c r="I15" s="307">
        <f>HLOOKUP($A15,'Multi_Family (2)'!$C$6:$N$79,I$5,FALSE)/2</f>
        <v>8.2616000000000009E-2</v>
      </c>
      <c r="J15" s="307">
        <f>HLOOKUP($A15,'Multi_Family (2)'!$C$6:$N$79,J$5,FALSE)/2</f>
        <v>8.2616000000000009E-2</v>
      </c>
      <c r="K15" s="307">
        <f>HLOOKUP($A15,'Multi_Family (2)'!$C$6:$N$79,K$5,FALSE)</f>
        <v>0.65577600000000003</v>
      </c>
      <c r="L15" s="311">
        <f>HLOOKUP($A15,'Multi_Family (2)'!$C$6:$N$79,L$5,FALSE)</f>
        <v>0.2182240000000005</v>
      </c>
      <c r="M15" s="70"/>
      <c r="N15" s="70">
        <f t="shared" si="0"/>
        <v>3.6799999999999997</v>
      </c>
      <c r="P15" s="321"/>
    </row>
    <row r="16" spans="1:16" x14ac:dyDescent="0.2">
      <c r="A16" s="313">
        <f t="shared" si="1"/>
        <v>42429</v>
      </c>
      <c r="B16" s="305"/>
      <c r="C16" s="307">
        <f>HLOOKUP($A16,'Multi_Family (2)'!$C$6:$N$79,C$5,FALSE)</f>
        <v>2.2875E-2</v>
      </c>
      <c r="D16" s="311">
        <f>HLOOKUP($A16,'Multi_Family (2)'!$C$6:$N$79,D$5,FALSE)</f>
        <v>0.53924000000000005</v>
      </c>
      <c r="E16" s="311">
        <f>HLOOKUP($A16,'Multi_Family (2)'!$C$6:$N$79,E$5,FALSE)</f>
        <v>0</v>
      </c>
      <c r="F16" s="307">
        <f>HLOOKUP($A16,'Multi_Family (2)'!$C$6:$N$79,F$5,FALSE)</f>
        <v>5.0325000000000002E-2</v>
      </c>
      <c r="G16" s="307">
        <f>HLOOKUP($A16,'Multi_Family (2)'!$C$6:$N$79,G$5,FALSE)</f>
        <v>0.59475</v>
      </c>
      <c r="H16" s="307">
        <f>HLOOKUP($A16,'Multi_Family (2)'!$C$6:$N$79,H$5,FALSE)</f>
        <v>0.98148999999999953</v>
      </c>
      <c r="I16" s="307">
        <f>HLOOKUP($A16,'Multi_Family (2)'!$C$6:$N$79,I$5,FALSE)/2</f>
        <v>6.8472500000000006E-2</v>
      </c>
      <c r="J16" s="307">
        <f>HLOOKUP($A16,'Multi_Family (2)'!$C$6:$N$79,J$5,FALSE)/2</f>
        <v>6.8472500000000006E-2</v>
      </c>
      <c r="K16" s="307">
        <f>HLOOKUP($A16,'Multi_Family (2)'!$C$6:$N$79,K$5,FALSE)</f>
        <v>0.54350999999999994</v>
      </c>
      <c r="L16" s="311">
        <f>HLOOKUP($A16,'Multi_Family (2)'!$C$6:$N$79,L$5,FALSE)</f>
        <v>0.18086500000000039</v>
      </c>
      <c r="M16" s="70"/>
      <c r="N16" s="70">
        <f t="shared" si="0"/>
        <v>3.05</v>
      </c>
      <c r="P16" s="321"/>
    </row>
    <row r="17" spans="1:16" x14ac:dyDescent="0.2">
      <c r="A17" s="313">
        <f t="shared" si="1"/>
        <v>42460</v>
      </c>
      <c r="B17" s="305"/>
      <c r="C17" s="307">
        <f>HLOOKUP($A17,'Multi_Family (2)'!$C$6:$N$79,C$5,FALSE)</f>
        <v>2.8799999999999999E-2</v>
      </c>
      <c r="D17" s="311">
        <f>HLOOKUP($A17,'Multi_Family (2)'!$C$6:$N$79,D$5,FALSE)</f>
        <v>0.67891200000000007</v>
      </c>
      <c r="E17" s="311">
        <f>HLOOKUP($A17,'Multi_Family (2)'!$C$6:$N$79,E$5,FALSE)</f>
        <v>0</v>
      </c>
      <c r="F17" s="307">
        <f>HLOOKUP($A17,'Multi_Family (2)'!$C$6:$N$79,F$5,FALSE)</f>
        <v>6.336E-2</v>
      </c>
      <c r="G17" s="307">
        <f>HLOOKUP($A17,'Multi_Family (2)'!$C$6:$N$79,G$5,FALSE)</f>
        <v>0.74880000000000002</v>
      </c>
      <c r="H17" s="307">
        <f>HLOOKUP($A17,'Multi_Family (2)'!$C$6:$N$79,H$5,FALSE)</f>
        <v>1.2357119999999995</v>
      </c>
      <c r="I17" s="307">
        <f>HLOOKUP($A17,'Multi_Family (2)'!$C$6:$N$79,I$5,FALSE)/2</f>
        <v>8.6208000000000007E-2</v>
      </c>
      <c r="J17" s="307">
        <f>HLOOKUP($A17,'Multi_Family (2)'!$C$6:$N$79,J$5,FALSE)/2</f>
        <v>8.6208000000000007E-2</v>
      </c>
      <c r="K17" s="307">
        <f>HLOOKUP($A17,'Multi_Family (2)'!$C$6:$N$79,K$5,FALSE)</f>
        <v>0.68428800000000001</v>
      </c>
      <c r="L17" s="311">
        <f>HLOOKUP($A17,'Multi_Family (2)'!$C$6:$N$79,L$5,FALSE)</f>
        <v>0.2277120000000005</v>
      </c>
      <c r="M17" s="70"/>
      <c r="N17" s="70">
        <f t="shared" si="0"/>
        <v>3.8400000000000003</v>
      </c>
      <c r="P17" s="321"/>
    </row>
    <row r="18" spans="1:16" x14ac:dyDescent="0.2">
      <c r="A18" s="313">
        <f t="shared" si="1"/>
        <v>42490</v>
      </c>
      <c r="B18" s="305"/>
      <c r="C18" s="307">
        <f>HLOOKUP($A18,'Multi_Family (2)'!$C$6:$N$79,C$5,FALSE)</f>
        <v>2.5949999999999997E-2</v>
      </c>
      <c r="D18" s="311">
        <f>HLOOKUP($A18,'Multi_Family (2)'!$C$6:$N$79,D$5,FALSE)</f>
        <v>0.61172800000000005</v>
      </c>
      <c r="E18" s="311">
        <f>HLOOKUP($A18,'Multi_Family (2)'!$C$6:$N$79,E$5,FALSE)</f>
        <v>0</v>
      </c>
      <c r="F18" s="307">
        <f>HLOOKUP($A18,'Multi_Family (2)'!$C$6:$N$79,F$5,FALSE)</f>
        <v>5.7090000000000002E-2</v>
      </c>
      <c r="G18" s="307">
        <f>HLOOKUP($A18,'Multi_Family (2)'!$C$6:$N$79,G$5,FALSE)</f>
        <v>0.67469999999999997</v>
      </c>
      <c r="H18" s="307">
        <f>HLOOKUP($A18,'Multi_Family (2)'!$C$6:$N$79,H$5,FALSE)</f>
        <v>1.1134279999999994</v>
      </c>
      <c r="I18" s="307">
        <f>HLOOKUP($A18,'Multi_Family (2)'!$C$6:$N$79,I$5,FALSE)/2</f>
        <v>7.767700000000001E-2</v>
      </c>
      <c r="J18" s="307">
        <f>HLOOKUP($A18,'Multi_Family (2)'!$C$6:$N$79,J$5,FALSE)/2</f>
        <v>7.767700000000001E-2</v>
      </c>
      <c r="K18" s="307">
        <f>HLOOKUP($A18,'Multi_Family (2)'!$C$6:$N$79,K$5,FALSE)</f>
        <v>0.61657200000000001</v>
      </c>
      <c r="L18" s="311">
        <f>HLOOKUP($A18,'Multi_Family (2)'!$C$6:$N$79,L$5,FALSE)</f>
        <v>0.20517800000000044</v>
      </c>
      <c r="M18" s="70"/>
      <c r="N18" s="70">
        <f t="shared" si="0"/>
        <v>3.46</v>
      </c>
      <c r="P18" s="321"/>
    </row>
    <row r="19" spans="1:16" ht="13.5" customHeight="1" x14ac:dyDescent="0.2">
      <c r="A19" s="313"/>
      <c r="B19" s="305"/>
      <c r="C19" s="70"/>
      <c r="D19" s="70"/>
      <c r="E19" s="70"/>
      <c r="F19" s="70"/>
      <c r="G19" s="70"/>
      <c r="H19" s="70"/>
      <c r="I19" s="70"/>
      <c r="J19" s="70"/>
      <c r="K19" s="70"/>
      <c r="L19" s="70"/>
      <c r="M19" s="70"/>
      <c r="N19" s="70"/>
      <c r="O19" s="186" t="s">
        <v>32</v>
      </c>
    </row>
    <row r="20" spans="1:16" x14ac:dyDescent="0.2">
      <c r="A20" s="310" t="s">
        <v>33</v>
      </c>
      <c r="B20" s="305"/>
      <c r="C20" s="77">
        <f t="shared" ref="C20:L20" si="2">SUM(C7:C19)</f>
        <v>0.298875</v>
      </c>
      <c r="D20" s="77">
        <f t="shared" si="2"/>
        <v>7.0454800000000013</v>
      </c>
      <c r="E20" s="77">
        <f t="shared" si="2"/>
        <v>0</v>
      </c>
      <c r="F20" s="77">
        <f t="shared" si="2"/>
        <v>0.65752499999999992</v>
      </c>
      <c r="G20" s="77">
        <f t="shared" si="2"/>
        <v>7.7707500000000005</v>
      </c>
      <c r="H20" s="77">
        <f t="shared" si="2"/>
        <v>12.823729999999992</v>
      </c>
      <c r="I20" s="77">
        <f t="shared" si="2"/>
        <v>0.89463250000000016</v>
      </c>
      <c r="J20" s="77">
        <f t="shared" si="2"/>
        <v>0.89463250000000016</v>
      </c>
      <c r="K20" s="77">
        <f t="shared" si="2"/>
        <v>7.1012700000000013</v>
      </c>
      <c r="L20" s="77">
        <f t="shared" si="2"/>
        <v>2.3631050000000053</v>
      </c>
      <c r="M20" s="70"/>
      <c r="N20" s="77">
        <f>SUM(N7:N18)</f>
        <v>39.85</v>
      </c>
      <c r="O20" s="306">
        <f>N20/15</f>
        <v>2.6566666666666667</v>
      </c>
    </row>
    <row r="21" spans="1:16" x14ac:dyDescent="0.2">
      <c r="A21" s="313"/>
      <c r="B21" s="305"/>
      <c r="C21" s="305"/>
      <c r="D21" s="305"/>
      <c r="E21" s="305"/>
      <c r="F21" s="305"/>
      <c r="G21" s="305"/>
      <c r="H21" s="305"/>
      <c r="I21" s="305"/>
      <c r="J21" s="305"/>
      <c r="K21" s="305"/>
      <c r="L21" s="305"/>
      <c r="M21" s="305"/>
      <c r="N21" s="306" t="str">
        <f>IF(N20&lt;&gt;SUM('Multi_Family (2)'!$C$66:$N$66),"ERROR","")</f>
        <v/>
      </c>
    </row>
    <row r="22" spans="1:16" x14ac:dyDescent="0.2">
      <c r="A22" s="305"/>
      <c r="B22" s="305"/>
      <c r="C22" s="305"/>
      <c r="D22" s="305"/>
      <c r="E22" s="305"/>
      <c r="F22" s="305"/>
      <c r="G22" s="305"/>
      <c r="H22" s="305"/>
      <c r="I22" s="305"/>
      <c r="J22" s="305"/>
      <c r="K22" s="305"/>
      <c r="L22" s="305"/>
      <c r="M22" s="306"/>
    </row>
    <row r="23" spans="1:16" x14ac:dyDescent="0.2">
      <c r="A23" s="305"/>
      <c r="B23" s="305"/>
      <c r="C23" s="305"/>
      <c r="D23" s="305"/>
      <c r="E23" s="305"/>
      <c r="F23" s="305"/>
      <c r="G23" s="305"/>
      <c r="H23" s="305"/>
      <c r="I23" s="305"/>
      <c r="J23" s="305"/>
      <c r="K23" s="305"/>
      <c r="L23" s="305"/>
      <c r="M23" s="306"/>
    </row>
    <row r="24" spans="1:16" x14ac:dyDescent="0.2">
      <c r="A24" s="305"/>
      <c r="B24" s="305"/>
      <c r="C24" s="305"/>
      <c r="D24" s="305"/>
      <c r="E24" s="305"/>
      <c r="F24" s="305"/>
      <c r="G24" s="305"/>
      <c r="H24" s="305"/>
      <c r="I24" s="305"/>
      <c r="J24" s="305"/>
      <c r="K24" s="305"/>
      <c r="L24" s="305"/>
      <c r="M24" s="306"/>
    </row>
    <row r="25" spans="1:16" x14ac:dyDescent="0.2">
      <c r="A25" s="305"/>
      <c r="B25" s="305"/>
      <c r="C25" s="305"/>
      <c r="D25" s="305"/>
      <c r="E25" s="305"/>
      <c r="F25" s="305"/>
      <c r="G25" s="305"/>
      <c r="H25" s="305"/>
      <c r="I25" s="305"/>
      <c r="J25" s="305"/>
      <c r="K25" s="305"/>
      <c r="L25" s="305"/>
      <c r="M25" s="305"/>
    </row>
    <row r="26" spans="1:16" x14ac:dyDescent="0.2">
      <c r="A26" s="305"/>
      <c r="B26" s="305"/>
      <c r="C26" s="305"/>
      <c r="D26" s="305"/>
      <c r="E26" s="305"/>
      <c r="F26" s="305"/>
      <c r="G26" s="305"/>
      <c r="H26" s="305"/>
      <c r="I26" s="305"/>
      <c r="J26" s="305"/>
      <c r="K26" s="305"/>
      <c r="L26" s="305"/>
      <c r="M26" s="305"/>
    </row>
    <row r="27" spans="1:16" x14ac:dyDescent="0.2">
      <c r="A27" s="305"/>
      <c r="B27" s="305"/>
      <c r="C27" s="305"/>
      <c r="D27" s="305"/>
      <c r="E27" s="305"/>
      <c r="F27" s="305"/>
      <c r="G27" s="305"/>
      <c r="H27" s="305"/>
      <c r="I27" s="305"/>
      <c r="J27" s="305"/>
      <c r="K27" s="305"/>
      <c r="L27" s="305"/>
      <c r="M27" s="305"/>
    </row>
    <row r="28" spans="1:16" x14ac:dyDescent="0.2">
      <c r="A28" s="305"/>
      <c r="B28" s="305"/>
      <c r="C28" s="305"/>
      <c r="D28" s="305"/>
      <c r="E28" s="305"/>
      <c r="F28" s="305"/>
      <c r="G28" s="305"/>
      <c r="H28" s="305"/>
      <c r="I28" s="305"/>
      <c r="J28" s="305"/>
      <c r="K28" s="305"/>
      <c r="L28" s="305"/>
      <c r="M28" s="305"/>
    </row>
    <row r="29" spans="1:16" x14ac:dyDescent="0.2">
      <c r="A29" s="305"/>
      <c r="B29" s="305"/>
      <c r="C29" s="305"/>
      <c r="D29" s="305"/>
      <c r="E29" s="305"/>
      <c r="F29" s="305"/>
      <c r="G29" s="305"/>
      <c r="H29" s="305"/>
      <c r="I29" s="305"/>
      <c r="J29" s="305"/>
      <c r="K29" s="305"/>
      <c r="L29" s="305"/>
      <c r="M29" s="305"/>
    </row>
    <row r="30" spans="1:16" x14ac:dyDescent="0.2">
      <c r="A30" s="305"/>
      <c r="B30" s="305"/>
      <c r="C30" s="305"/>
      <c r="D30" s="305"/>
      <c r="E30" s="305"/>
      <c r="F30" s="305"/>
      <c r="G30" s="305"/>
      <c r="H30" s="305"/>
      <c r="I30" s="305"/>
      <c r="J30" s="305"/>
      <c r="K30" s="305"/>
      <c r="L30" s="305"/>
      <c r="M30" s="305"/>
    </row>
    <row r="31" spans="1:16" x14ac:dyDescent="0.2">
      <c r="A31" s="305"/>
      <c r="B31" s="305"/>
      <c r="C31" s="305"/>
      <c r="D31" s="305"/>
      <c r="E31" s="305"/>
      <c r="F31" s="305"/>
      <c r="G31" s="305"/>
      <c r="H31" s="305"/>
      <c r="I31" s="305"/>
      <c r="J31" s="305"/>
      <c r="K31" s="305"/>
      <c r="L31" s="305"/>
      <c r="M31" s="305"/>
    </row>
    <row r="32" spans="1:16" x14ac:dyDescent="0.2">
      <c r="A32" s="305"/>
      <c r="B32" s="305"/>
      <c r="C32" s="305"/>
      <c r="D32" s="305"/>
      <c r="E32" s="305"/>
      <c r="F32" s="305"/>
      <c r="G32" s="305"/>
      <c r="H32" s="305"/>
      <c r="I32" s="305"/>
      <c r="J32" s="305"/>
      <c r="K32" s="305"/>
      <c r="L32" s="305"/>
      <c r="M32" s="305"/>
    </row>
    <row r="33" spans="1:13" x14ac:dyDescent="0.2">
      <c r="A33" s="305"/>
      <c r="B33" s="305"/>
      <c r="C33" s="305"/>
      <c r="D33" s="305"/>
      <c r="E33" s="305"/>
      <c r="F33" s="305"/>
      <c r="G33" s="305"/>
      <c r="H33" s="305"/>
      <c r="I33" s="305"/>
      <c r="J33" s="305"/>
      <c r="K33" s="305"/>
      <c r="L33" s="305"/>
      <c r="M33" s="305"/>
    </row>
    <row r="34" spans="1:13" x14ac:dyDescent="0.2">
      <c r="A34" s="305"/>
      <c r="B34" s="305"/>
      <c r="C34" s="305"/>
      <c r="D34" s="305"/>
      <c r="E34" s="305"/>
      <c r="F34" s="305"/>
      <c r="G34" s="305"/>
      <c r="H34" s="305"/>
      <c r="I34" s="305"/>
      <c r="J34" s="305"/>
      <c r="K34" s="305"/>
      <c r="L34" s="305"/>
      <c r="M34" s="305"/>
    </row>
    <row r="35" spans="1:13" x14ac:dyDescent="0.2">
      <c r="A35" s="305"/>
      <c r="B35" s="305"/>
      <c r="C35" s="305"/>
      <c r="D35" s="305"/>
      <c r="E35" s="305"/>
      <c r="F35" s="305"/>
      <c r="G35" s="305"/>
      <c r="H35" s="305"/>
      <c r="I35" s="305"/>
      <c r="J35" s="305"/>
      <c r="K35" s="305"/>
      <c r="L35" s="305"/>
      <c r="M35" s="305"/>
    </row>
    <row r="36" spans="1:13" x14ac:dyDescent="0.2">
      <c r="A36" s="305"/>
      <c r="B36" s="305"/>
      <c r="C36" s="305"/>
      <c r="D36" s="305"/>
      <c r="E36" s="305"/>
      <c r="F36" s="305"/>
      <c r="G36" s="305"/>
      <c r="H36" s="305"/>
      <c r="I36" s="305"/>
      <c r="J36" s="305"/>
      <c r="K36" s="305"/>
      <c r="L36" s="305"/>
      <c r="M36" s="305"/>
    </row>
    <row r="37" spans="1:13" x14ac:dyDescent="0.2">
      <c r="A37" s="305"/>
      <c r="B37" s="305"/>
      <c r="C37" s="305"/>
      <c r="D37" s="305"/>
      <c r="E37" s="305"/>
      <c r="F37" s="305"/>
      <c r="G37" s="305"/>
      <c r="H37" s="305"/>
      <c r="I37" s="305"/>
      <c r="J37" s="305"/>
      <c r="K37" s="305"/>
      <c r="L37" s="305"/>
      <c r="M37" s="305"/>
    </row>
    <row r="38" spans="1:13" x14ac:dyDescent="0.2">
      <c r="A38" s="305"/>
      <c r="B38" s="305"/>
      <c r="C38" s="305"/>
      <c r="D38" s="305"/>
      <c r="E38" s="305"/>
      <c r="F38" s="305"/>
      <c r="G38" s="305"/>
      <c r="H38" s="305"/>
      <c r="I38" s="305"/>
      <c r="J38" s="305"/>
      <c r="K38" s="305"/>
      <c r="L38" s="305"/>
      <c r="M38" s="305"/>
    </row>
    <row r="39" spans="1:13" x14ac:dyDescent="0.2">
      <c r="A39" s="305"/>
      <c r="B39" s="305"/>
      <c r="C39" s="305"/>
      <c r="D39" s="305"/>
      <c r="E39" s="305"/>
      <c r="F39" s="305"/>
      <c r="G39" s="305"/>
      <c r="H39" s="305"/>
      <c r="I39" s="305"/>
      <c r="J39" s="305"/>
      <c r="K39" s="305"/>
      <c r="L39" s="305"/>
      <c r="M39" s="305"/>
    </row>
    <row r="40" spans="1:13" x14ac:dyDescent="0.2">
      <c r="A40" s="305"/>
      <c r="B40" s="305"/>
      <c r="C40" s="305"/>
      <c r="D40" s="305"/>
      <c r="E40" s="305"/>
      <c r="F40" s="305"/>
      <c r="G40" s="305"/>
      <c r="H40" s="305"/>
      <c r="I40" s="305"/>
      <c r="J40" s="305"/>
      <c r="K40" s="305"/>
      <c r="L40" s="305"/>
      <c r="M40" s="305"/>
    </row>
    <row r="41" spans="1:13" x14ac:dyDescent="0.2">
      <c r="A41" s="305"/>
      <c r="B41" s="305"/>
      <c r="C41" s="305"/>
      <c r="D41" s="305"/>
      <c r="E41" s="305"/>
      <c r="F41" s="305"/>
      <c r="G41" s="305"/>
      <c r="H41" s="305"/>
      <c r="I41" s="305"/>
      <c r="J41" s="305"/>
      <c r="K41" s="305"/>
      <c r="L41" s="305"/>
      <c r="M41" s="305"/>
    </row>
    <row r="42" spans="1:13" x14ac:dyDescent="0.2">
      <c r="A42" s="305"/>
      <c r="B42" s="305"/>
      <c r="C42" s="305"/>
      <c r="D42" s="305"/>
      <c r="E42" s="305"/>
      <c r="F42" s="305"/>
      <c r="G42" s="305"/>
      <c r="H42" s="305"/>
      <c r="I42" s="305"/>
      <c r="J42" s="305"/>
      <c r="K42" s="305"/>
      <c r="L42" s="305"/>
      <c r="M42" s="305"/>
    </row>
    <row r="43" spans="1:13" x14ac:dyDescent="0.2">
      <c r="A43" s="305"/>
      <c r="B43" s="305"/>
      <c r="C43" s="305"/>
      <c r="D43" s="305"/>
      <c r="E43" s="305"/>
      <c r="F43" s="305"/>
      <c r="G43" s="305"/>
      <c r="H43" s="305"/>
      <c r="I43" s="305"/>
      <c r="J43" s="305"/>
      <c r="K43" s="305"/>
      <c r="L43" s="305"/>
      <c r="M43" s="305"/>
    </row>
    <row r="44" spans="1:13" x14ac:dyDescent="0.2">
      <c r="A44" s="305"/>
      <c r="B44" s="305"/>
      <c r="C44" s="305"/>
      <c r="D44" s="305"/>
      <c r="E44" s="305"/>
      <c r="F44" s="305"/>
      <c r="G44" s="305"/>
      <c r="H44" s="305"/>
      <c r="I44" s="305"/>
      <c r="J44" s="305"/>
      <c r="K44" s="305"/>
      <c r="L44" s="305"/>
      <c r="M44" s="305"/>
    </row>
    <row r="45" spans="1:13" x14ac:dyDescent="0.2">
      <c r="A45" s="305"/>
      <c r="B45" s="305"/>
      <c r="C45" s="305"/>
      <c r="D45" s="305"/>
      <c r="E45" s="305"/>
      <c r="F45" s="305"/>
      <c r="G45" s="305"/>
      <c r="H45" s="305"/>
      <c r="I45" s="305"/>
      <c r="J45" s="305"/>
      <c r="K45" s="305"/>
      <c r="L45" s="305"/>
      <c r="M45" s="305"/>
    </row>
    <row r="46" spans="1:13" x14ac:dyDescent="0.2">
      <c r="A46" s="305"/>
      <c r="B46" s="305"/>
      <c r="C46" s="305"/>
      <c r="D46" s="305"/>
      <c r="E46" s="305"/>
      <c r="F46" s="305"/>
      <c r="G46" s="305"/>
      <c r="H46" s="305"/>
      <c r="I46" s="305"/>
      <c r="J46" s="305"/>
      <c r="K46" s="305"/>
      <c r="L46" s="305"/>
      <c r="M46" s="305"/>
    </row>
    <row r="47" spans="1:13" x14ac:dyDescent="0.2">
      <c r="A47" s="305"/>
      <c r="B47" s="305"/>
      <c r="C47" s="305"/>
      <c r="D47" s="305"/>
      <c r="E47" s="305"/>
      <c r="F47" s="305"/>
      <c r="G47" s="305"/>
      <c r="H47" s="305"/>
      <c r="I47" s="305"/>
      <c r="J47" s="305"/>
      <c r="K47" s="305"/>
      <c r="L47" s="305"/>
      <c r="M47" s="305"/>
    </row>
    <row r="48" spans="1:13" x14ac:dyDescent="0.2">
      <c r="A48" s="305"/>
      <c r="B48" s="305"/>
      <c r="C48" s="305"/>
      <c r="D48" s="305"/>
      <c r="E48" s="305"/>
      <c r="F48" s="305"/>
      <c r="G48" s="305"/>
      <c r="H48" s="305"/>
      <c r="I48" s="305"/>
      <c r="J48" s="305"/>
      <c r="K48" s="305"/>
      <c r="L48" s="305"/>
      <c r="M48" s="305"/>
    </row>
    <row r="49" spans="1:13" x14ac:dyDescent="0.2">
      <c r="A49" s="305"/>
      <c r="B49" s="305"/>
      <c r="C49" s="305"/>
      <c r="D49" s="305"/>
      <c r="E49" s="305"/>
      <c r="F49" s="305"/>
      <c r="G49" s="305"/>
      <c r="H49" s="305"/>
      <c r="I49" s="305"/>
      <c r="J49" s="305"/>
      <c r="K49" s="305"/>
      <c r="L49" s="305"/>
      <c r="M49" s="305"/>
    </row>
    <row r="50" spans="1:13" x14ac:dyDescent="0.2">
      <c r="A50" s="305"/>
      <c r="B50" s="305"/>
      <c r="C50" s="305"/>
      <c r="D50" s="305"/>
      <c r="E50" s="305"/>
      <c r="F50" s="305"/>
      <c r="G50" s="305"/>
      <c r="H50" s="305"/>
      <c r="I50" s="305"/>
      <c r="J50" s="305"/>
      <c r="K50" s="305"/>
      <c r="L50" s="305"/>
      <c r="M50" s="305"/>
    </row>
    <row r="51" spans="1:13" x14ac:dyDescent="0.2">
      <c r="A51" s="305"/>
      <c r="B51" s="305"/>
      <c r="C51" s="305"/>
      <c r="D51" s="305"/>
      <c r="E51" s="305"/>
      <c r="F51" s="305"/>
      <c r="G51" s="305"/>
      <c r="H51" s="305"/>
      <c r="I51" s="305"/>
      <c r="J51" s="305"/>
      <c r="K51" s="305"/>
      <c r="L51" s="305"/>
      <c r="M51" s="305"/>
    </row>
    <row r="52" spans="1:13" x14ac:dyDescent="0.2">
      <c r="A52" s="305"/>
      <c r="B52" s="305"/>
      <c r="C52" s="305"/>
      <c r="D52" s="305"/>
      <c r="E52" s="305"/>
      <c r="F52" s="305"/>
      <c r="G52" s="305"/>
      <c r="H52" s="305"/>
      <c r="I52" s="305"/>
      <c r="J52" s="305"/>
      <c r="K52" s="305"/>
      <c r="L52" s="305"/>
      <c r="M52" s="305"/>
    </row>
    <row r="53" spans="1:13" x14ac:dyDescent="0.2">
      <c r="A53" s="305"/>
      <c r="B53" s="305"/>
      <c r="C53" s="305"/>
      <c r="D53" s="305"/>
      <c r="E53" s="305"/>
      <c r="F53" s="305"/>
      <c r="G53" s="305"/>
      <c r="H53" s="305"/>
      <c r="I53" s="305"/>
      <c r="J53" s="305"/>
      <c r="K53" s="305"/>
      <c r="L53" s="305"/>
      <c r="M53" s="305"/>
    </row>
    <row r="54" spans="1:13" x14ac:dyDescent="0.2">
      <c r="A54" s="305"/>
      <c r="B54" s="305"/>
      <c r="C54" s="305"/>
      <c r="D54" s="305"/>
      <c r="E54" s="305"/>
      <c r="F54" s="305"/>
      <c r="G54" s="305"/>
      <c r="H54" s="305"/>
      <c r="I54" s="305"/>
      <c r="J54" s="305"/>
      <c r="K54" s="305"/>
      <c r="L54" s="305"/>
      <c r="M54" s="305"/>
    </row>
    <row r="55" spans="1:13" x14ac:dyDescent="0.2">
      <c r="A55" s="305"/>
      <c r="B55" s="305"/>
      <c r="C55" s="305"/>
      <c r="D55" s="305"/>
      <c r="E55" s="305"/>
      <c r="F55" s="305"/>
      <c r="G55" s="305"/>
      <c r="H55" s="305"/>
      <c r="I55" s="305"/>
      <c r="J55" s="305"/>
      <c r="K55" s="305"/>
      <c r="L55" s="305"/>
      <c r="M55" s="305"/>
    </row>
    <row r="56" spans="1:13" x14ac:dyDescent="0.2">
      <c r="A56" s="305"/>
      <c r="B56" s="305"/>
      <c r="C56" s="305"/>
      <c r="D56" s="305"/>
      <c r="E56" s="305"/>
      <c r="F56" s="305"/>
      <c r="G56" s="305"/>
      <c r="H56" s="305"/>
      <c r="I56" s="305"/>
      <c r="J56" s="305"/>
      <c r="K56" s="305"/>
      <c r="L56" s="305"/>
      <c r="M56" s="305"/>
    </row>
    <row r="57" spans="1:13" x14ac:dyDescent="0.2">
      <c r="A57" s="305"/>
      <c r="B57" s="305"/>
      <c r="C57" s="305"/>
      <c r="D57" s="305"/>
      <c r="E57" s="305"/>
      <c r="F57" s="305"/>
      <c r="G57" s="305"/>
      <c r="H57" s="305"/>
      <c r="I57" s="305"/>
      <c r="J57" s="305"/>
      <c r="K57" s="305"/>
      <c r="L57" s="305"/>
      <c r="M57" s="305"/>
    </row>
    <row r="58" spans="1:13" x14ac:dyDescent="0.2">
      <c r="A58" s="305"/>
      <c r="B58" s="305"/>
      <c r="C58" s="305"/>
      <c r="D58" s="305"/>
      <c r="E58" s="305"/>
      <c r="F58" s="305"/>
      <c r="G58" s="305"/>
      <c r="H58" s="305"/>
      <c r="I58" s="305"/>
      <c r="J58" s="305"/>
      <c r="K58" s="305"/>
      <c r="L58" s="305"/>
      <c r="M58" s="305"/>
    </row>
    <row r="59" spans="1:13" x14ac:dyDescent="0.2">
      <c r="A59" s="305"/>
      <c r="B59" s="305"/>
      <c r="C59" s="305"/>
      <c r="D59" s="305"/>
      <c r="E59" s="305"/>
      <c r="F59" s="305"/>
      <c r="G59" s="305"/>
      <c r="H59" s="305"/>
      <c r="I59" s="305"/>
      <c r="J59" s="305"/>
      <c r="K59" s="305"/>
      <c r="L59" s="305"/>
      <c r="M59" s="305"/>
    </row>
    <row r="60" spans="1:13" x14ac:dyDescent="0.2">
      <c r="A60" s="305"/>
      <c r="B60" s="305"/>
      <c r="C60" s="305"/>
      <c r="D60" s="305"/>
      <c r="E60" s="305"/>
      <c r="F60" s="305"/>
      <c r="G60" s="305"/>
      <c r="H60" s="305"/>
      <c r="I60" s="305"/>
      <c r="J60" s="305"/>
      <c r="K60" s="305"/>
      <c r="L60" s="305"/>
      <c r="M60" s="305"/>
    </row>
    <row r="61" spans="1:13" x14ac:dyDescent="0.2">
      <c r="A61" s="305"/>
      <c r="B61" s="305"/>
      <c r="C61" s="305"/>
      <c r="D61" s="305"/>
      <c r="E61" s="305"/>
      <c r="F61" s="305"/>
      <c r="G61" s="305"/>
      <c r="H61" s="305"/>
      <c r="I61" s="305"/>
      <c r="J61" s="305"/>
      <c r="K61" s="305"/>
      <c r="L61" s="305"/>
      <c r="M61" s="305"/>
    </row>
    <row r="62" spans="1:13" x14ac:dyDescent="0.2">
      <c r="A62" s="305"/>
      <c r="B62" s="305"/>
      <c r="C62" s="305"/>
      <c r="D62" s="305"/>
      <c r="E62" s="305"/>
      <c r="F62" s="305"/>
      <c r="G62" s="305"/>
      <c r="H62" s="305"/>
      <c r="I62" s="305"/>
      <c r="J62" s="305"/>
      <c r="K62" s="305"/>
      <c r="L62" s="305"/>
      <c r="M62" s="305"/>
    </row>
    <row r="63" spans="1:13" x14ac:dyDescent="0.2">
      <c r="A63" s="305"/>
      <c r="B63" s="305"/>
      <c r="C63" s="305"/>
      <c r="D63" s="305"/>
      <c r="E63" s="305"/>
      <c r="F63" s="305"/>
      <c r="G63" s="305"/>
      <c r="H63" s="305"/>
      <c r="I63" s="305"/>
      <c r="J63" s="305"/>
      <c r="K63" s="305"/>
      <c r="L63" s="305"/>
      <c r="M63" s="305"/>
    </row>
    <row r="64" spans="1:13" x14ac:dyDescent="0.2">
      <c r="A64" s="305"/>
      <c r="B64" s="305"/>
      <c r="C64" s="305"/>
      <c r="D64" s="305"/>
      <c r="E64" s="305"/>
      <c r="F64" s="305"/>
      <c r="G64" s="305"/>
      <c r="H64" s="305"/>
      <c r="I64" s="305"/>
      <c r="J64" s="305"/>
      <c r="K64" s="305"/>
      <c r="L64" s="305"/>
      <c r="M64" s="305"/>
    </row>
    <row r="65" spans="1:13" x14ac:dyDescent="0.2">
      <c r="A65" s="305"/>
      <c r="B65" s="305"/>
      <c r="C65" s="305"/>
      <c r="D65" s="305"/>
      <c r="E65" s="305"/>
      <c r="F65" s="305"/>
      <c r="G65" s="305"/>
      <c r="H65" s="305"/>
      <c r="I65" s="305"/>
      <c r="J65" s="305"/>
      <c r="K65" s="305"/>
      <c r="L65" s="305"/>
      <c r="M65" s="305"/>
    </row>
    <row r="66" spans="1:13" x14ac:dyDescent="0.2">
      <c r="A66" s="305"/>
      <c r="B66" s="305"/>
      <c r="C66" s="305"/>
      <c r="D66" s="305"/>
      <c r="E66" s="305"/>
      <c r="F66" s="305"/>
      <c r="G66" s="305"/>
      <c r="H66" s="305"/>
      <c r="I66" s="305"/>
      <c r="J66" s="305"/>
      <c r="K66" s="305"/>
      <c r="L66" s="305"/>
      <c r="M66" s="305"/>
    </row>
    <row r="67" spans="1:13" x14ac:dyDescent="0.2">
      <c r="A67" s="305"/>
      <c r="B67" s="305"/>
      <c r="C67" s="305"/>
      <c r="D67" s="305"/>
      <c r="E67" s="305"/>
      <c r="F67" s="305"/>
      <c r="G67" s="305"/>
      <c r="H67" s="305"/>
      <c r="I67" s="305"/>
      <c r="J67" s="305"/>
      <c r="K67" s="305"/>
      <c r="L67" s="305"/>
      <c r="M67" s="305"/>
    </row>
    <row r="68" spans="1:13" x14ac:dyDescent="0.2">
      <c r="A68" s="305"/>
      <c r="B68" s="305"/>
      <c r="C68" s="305"/>
      <c r="D68" s="305"/>
      <c r="E68" s="305"/>
      <c r="F68" s="305"/>
      <c r="G68" s="305"/>
      <c r="H68" s="305"/>
      <c r="I68" s="305"/>
      <c r="J68" s="305"/>
      <c r="K68" s="305"/>
      <c r="L68" s="305"/>
      <c r="M68" s="305"/>
    </row>
    <row r="69" spans="1:13" x14ac:dyDescent="0.2">
      <c r="A69" s="305"/>
      <c r="B69" s="305"/>
      <c r="C69" s="305"/>
      <c r="D69" s="305"/>
      <c r="E69" s="305"/>
      <c r="F69" s="305"/>
      <c r="G69" s="305"/>
      <c r="H69" s="305"/>
      <c r="I69" s="305"/>
      <c r="J69" s="305"/>
      <c r="K69" s="305"/>
      <c r="L69" s="305"/>
      <c r="M69" s="305"/>
    </row>
    <row r="70" spans="1:13" x14ac:dyDescent="0.2">
      <c r="A70" s="305"/>
      <c r="B70" s="305"/>
      <c r="C70" s="305"/>
      <c r="D70" s="305"/>
      <c r="E70" s="305"/>
      <c r="F70" s="305"/>
      <c r="G70" s="305"/>
      <c r="H70" s="305"/>
      <c r="I70" s="305"/>
      <c r="J70" s="305"/>
      <c r="K70" s="305"/>
      <c r="L70" s="305"/>
      <c r="M70" s="305"/>
    </row>
    <row r="71" spans="1:13" x14ac:dyDescent="0.2">
      <c r="A71" s="305"/>
      <c r="B71" s="305"/>
      <c r="C71" s="305"/>
      <c r="D71" s="305"/>
      <c r="E71" s="305"/>
      <c r="F71" s="305"/>
      <c r="G71" s="305"/>
      <c r="H71" s="305"/>
      <c r="I71" s="305"/>
      <c r="J71" s="305"/>
      <c r="K71" s="305"/>
      <c r="L71" s="305"/>
      <c r="M71" s="305"/>
    </row>
    <row r="72" spans="1:13" x14ac:dyDescent="0.2">
      <c r="A72" s="305"/>
      <c r="B72" s="305"/>
      <c r="C72" s="305"/>
      <c r="D72" s="305"/>
      <c r="E72" s="305"/>
      <c r="F72" s="305"/>
      <c r="G72" s="305"/>
      <c r="H72" s="305"/>
      <c r="I72" s="305"/>
      <c r="J72" s="305"/>
      <c r="K72" s="305"/>
      <c r="L72" s="305"/>
      <c r="M72" s="305"/>
    </row>
    <row r="73" spans="1:13" x14ac:dyDescent="0.2">
      <c r="A73" s="305"/>
      <c r="B73" s="305"/>
      <c r="C73" s="305"/>
      <c r="D73" s="305"/>
      <c r="E73" s="305"/>
      <c r="F73" s="305"/>
      <c r="G73" s="305"/>
      <c r="H73" s="305"/>
      <c r="I73" s="305"/>
      <c r="J73" s="305"/>
      <c r="K73" s="305"/>
      <c r="L73" s="305"/>
      <c r="M73" s="305"/>
    </row>
    <row r="74" spans="1:13" x14ac:dyDescent="0.2">
      <c r="A74" s="305"/>
      <c r="B74" s="305"/>
      <c r="C74" s="305"/>
      <c r="D74" s="305"/>
      <c r="E74" s="305"/>
      <c r="F74" s="305"/>
      <c r="G74" s="305"/>
      <c r="H74" s="305"/>
      <c r="I74" s="305"/>
      <c r="J74" s="305"/>
      <c r="K74" s="305"/>
      <c r="L74" s="305"/>
      <c r="M74" s="305"/>
    </row>
    <row r="75" spans="1:13" x14ac:dyDescent="0.2">
      <c r="A75" s="305"/>
      <c r="B75" s="305"/>
      <c r="C75" s="305"/>
      <c r="D75" s="305"/>
      <c r="E75" s="305"/>
      <c r="F75" s="305"/>
      <c r="G75" s="305"/>
      <c r="H75" s="305"/>
      <c r="I75" s="305"/>
      <c r="J75" s="305"/>
      <c r="K75" s="305"/>
      <c r="L75" s="305"/>
      <c r="M75" s="305"/>
    </row>
    <row r="76" spans="1:13" x14ac:dyDescent="0.2">
      <c r="A76" s="305"/>
      <c r="B76" s="305"/>
      <c r="C76" s="305"/>
      <c r="D76" s="305"/>
      <c r="E76" s="305"/>
      <c r="F76" s="305"/>
      <c r="G76" s="305"/>
      <c r="H76" s="305"/>
      <c r="I76" s="305"/>
      <c r="J76" s="305"/>
      <c r="K76" s="305"/>
      <c r="L76" s="305"/>
      <c r="M76" s="305"/>
    </row>
    <row r="77" spans="1:13" x14ac:dyDescent="0.2">
      <c r="A77" s="305"/>
      <c r="B77" s="305"/>
      <c r="C77" s="305"/>
      <c r="D77" s="305"/>
      <c r="E77" s="305"/>
      <c r="F77" s="305"/>
      <c r="G77" s="305"/>
      <c r="H77" s="305"/>
      <c r="I77" s="305"/>
      <c r="J77" s="305"/>
      <c r="K77" s="305"/>
      <c r="L77" s="305"/>
      <c r="M77" s="305"/>
    </row>
    <row r="78" spans="1:13" x14ac:dyDescent="0.2">
      <c r="A78" s="305"/>
      <c r="B78" s="305"/>
      <c r="C78" s="305"/>
      <c r="D78" s="305"/>
      <c r="E78" s="305"/>
      <c r="F78" s="305"/>
      <c r="G78" s="305"/>
      <c r="H78" s="305"/>
      <c r="I78" s="305"/>
      <c r="J78" s="305"/>
      <c r="K78" s="305"/>
      <c r="L78" s="305"/>
      <c r="M78" s="305"/>
    </row>
    <row r="79" spans="1:13" x14ac:dyDescent="0.2">
      <c r="A79" s="305"/>
      <c r="B79" s="305"/>
      <c r="C79" s="305"/>
      <c r="D79" s="305"/>
      <c r="E79" s="305"/>
      <c r="F79" s="305"/>
      <c r="G79" s="305"/>
      <c r="H79" s="305"/>
      <c r="I79" s="305"/>
      <c r="J79" s="305"/>
      <c r="K79" s="305"/>
      <c r="L79" s="305"/>
      <c r="M79" s="305"/>
    </row>
    <row r="80" spans="1:13" x14ac:dyDescent="0.2">
      <c r="A80" s="305"/>
      <c r="B80" s="305"/>
      <c r="C80" s="305"/>
      <c r="D80" s="305"/>
      <c r="E80" s="305"/>
      <c r="F80" s="305"/>
      <c r="G80" s="305"/>
      <c r="H80" s="305"/>
      <c r="I80" s="305"/>
      <c r="J80" s="305"/>
      <c r="K80" s="305"/>
      <c r="L80" s="305"/>
      <c r="M80" s="305"/>
    </row>
    <row r="81" spans="1:13" x14ac:dyDescent="0.2">
      <c r="A81" s="305"/>
      <c r="B81" s="305"/>
      <c r="C81" s="305"/>
      <c r="D81" s="305"/>
      <c r="E81" s="305"/>
      <c r="F81" s="305"/>
      <c r="G81" s="305"/>
      <c r="H81" s="305"/>
      <c r="I81" s="305"/>
      <c r="J81" s="305"/>
      <c r="K81" s="305"/>
      <c r="L81" s="305"/>
      <c r="M81" s="305"/>
    </row>
    <row r="82" spans="1:13" x14ac:dyDescent="0.2">
      <c r="A82" s="305"/>
      <c r="B82" s="305"/>
      <c r="C82" s="305"/>
      <c r="D82" s="305"/>
      <c r="E82" s="305"/>
      <c r="F82" s="305"/>
      <c r="G82" s="305"/>
      <c r="H82" s="305"/>
      <c r="I82" s="305"/>
      <c r="J82" s="305"/>
      <c r="K82" s="305"/>
      <c r="L82" s="305"/>
      <c r="M82" s="305"/>
    </row>
    <row r="83" spans="1:13" x14ac:dyDescent="0.2">
      <c r="A83" s="305"/>
      <c r="B83" s="305"/>
      <c r="C83" s="305"/>
      <c r="D83" s="305"/>
      <c r="E83" s="305"/>
      <c r="F83" s="305"/>
      <c r="G83" s="305"/>
      <c r="H83" s="305"/>
      <c r="I83" s="305"/>
      <c r="J83" s="305"/>
      <c r="K83" s="305"/>
      <c r="L83" s="305"/>
      <c r="M83" s="305"/>
    </row>
    <row r="84" spans="1:13" x14ac:dyDescent="0.2">
      <c r="A84" s="305"/>
      <c r="B84" s="305"/>
      <c r="C84" s="305"/>
      <c r="D84" s="305"/>
      <c r="E84" s="305"/>
      <c r="F84" s="305"/>
      <c r="G84" s="305"/>
      <c r="H84" s="305"/>
      <c r="I84" s="305"/>
      <c r="J84" s="305"/>
      <c r="K84" s="305"/>
      <c r="L84" s="305"/>
      <c r="M84" s="305"/>
    </row>
    <row r="85" spans="1:13" x14ac:dyDescent="0.2">
      <c r="A85" s="305"/>
      <c r="B85" s="305"/>
      <c r="C85" s="305"/>
      <c r="D85" s="305"/>
      <c r="E85" s="305"/>
      <c r="F85" s="305"/>
      <c r="G85" s="305"/>
      <c r="H85" s="305"/>
      <c r="I85" s="305"/>
      <c r="J85" s="305"/>
      <c r="K85" s="305"/>
      <c r="L85" s="305"/>
      <c r="M85" s="305"/>
    </row>
    <row r="86" spans="1:13" x14ac:dyDescent="0.2">
      <c r="A86" s="305"/>
      <c r="B86" s="305"/>
      <c r="C86" s="305"/>
      <c r="D86" s="305"/>
      <c r="E86" s="305"/>
      <c r="F86" s="305"/>
      <c r="G86" s="305"/>
      <c r="H86" s="305"/>
      <c r="I86" s="305"/>
      <c r="J86" s="305"/>
      <c r="K86" s="305"/>
      <c r="L86" s="305"/>
      <c r="M86" s="305"/>
    </row>
    <row r="87" spans="1:13" x14ac:dyDescent="0.2">
      <c r="A87" s="305"/>
      <c r="B87" s="305"/>
      <c r="C87" s="305"/>
      <c r="D87" s="305"/>
      <c r="E87" s="305"/>
      <c r="F87" s="305"/>
      <c r="G87" s="305"/>
      <c r="H87" s="305"/>
      <c r="I87" s="305"/>
      <c r="J87" s="305"/>
      <c r="K87" s="305"/>
      <c r="L87" s="305"/>
      <c r="M87" s="305"/>
    </row>
    <row r="88" spans="1:13" x14ac:dyDescent="0.2">
      <c r="A88" s="305"/>
      <c r="B88" s="305"/>
      <c r="C88" s="305"/>
      <c r="D88" s="305"/>
      <c r="E88" s="305"/>
      <c r="F88" s="305"/>
      <c r="G88" s="305"/>
      <c r="H88" s="305"/>
      <c r="I88" s="305"/>
      <c r="J88" s="305"/>
      <c r="K88" s="305"/>
      <c r="L88" s="305"/>
      <c r="M88" s="305"/>
    </row>
    <row r="89" spans="1:13" x14ac:dyDescent="0.2">
      <c r="A89" s="305"/>
      <c r="B89" s="305"/>
      <c r="C89" s="305"/>
      <c r="D89" s="305"/>
      <c r="E89" s="305"/>
      <c r="F89" s="305"/>
      <c r="G89" s="305"/>
      <c r="H89" s="305"/>
      <c r="I89" s="305"/>
      <c r="J89" s="305"/>
      <c r="K89" s="305"/>
      <c r="L89" s="305"/>
      <c r="M89" s="305"/>
    </row>
    <row r="90" spans="1:13" x14ac:dyDescent="0.2">
      <c r="A90" s="305"/>
      <c r="B90" s="305"/>
      <c r="C90" s="305"/>
      <c r="D90" s="305"/>
      <c r="E90" s="305"/>
      <c r="F90" s="305"/>
      <c r="G90" s="305"/>
      <c r="H90" s="305"/>
      <c r="I90" s="305"/>
      <c r="J90" s="305"/>
      <c r="K90" s="305"/>
      <c r="L90" s="305"/>
      <c r="M90" s="305"/>
    </row>
    <row r="91" spans="1:13" x14ac:dyDescent="0.2">
      <c r="A91" s="305"/>
      <c r="B91" s="305"/>
      <c r="C91" s="305"/>
      <c r="D91" s="305"/>
      <c r="E91" s="305"/>
      <c r="F91" s="305"/>
      <c r="G91" s="305"/>
      <c r="H91" s="305"/>
      <c r="I91" s="305"/>
      <c r="J91" s="305"/>
      <c r="K91" s="305"/>
      <c r="L91" s="305"/>
      <c r="M91" s="305"/>
    </row>
    <row r="92" spans="1:13" x14ac:dyDescent="0.2">
      <c r="A92" s="305"/>
      <c r="B92" s="305"/>
      <c r="C92" s="305"/>
      <c r="D92" s="305"/>
      <c r="E92" s="305"/>
      <c r="F92" s="305"/>
      <c r="G92" s="305"/>
      <c r="H92" s="305"/>
      <c r="I92" s="305"/>
      <c r="J92" s="305"/>
      <c r="K92" s="305"/>
      <c r="L92" s="305"/>
      <c r="M92" s="305"/>
    </row>
    <row r="93" spans="1:13" x14ac:dyDescent="0.2">
      <c r="A93" s="305"/>
      <c r="B93" s="305"/>
      <c r="C93" s="305"/>
      <c r="D93" s="305"/>
      <c r="E93" s="305"/>
      <c r="F93" s="305"/>
      <c r="G93" s="305"/>
      <c r="H93" s="305"/>
      <c r="I93" s="305"/>
      <c r="J93" s="305"/>
      <c r="K93" s="305"/>
      <c r="L93" s="305"/>
      <c r="M93" s="305"/>
    </row>
    <row r="94" spans="1:13" x14ac:dyDescent="0.2">
      <c r="A94" s="305"/>
      <c r="B94" s="305"/>
      <c r="C94" s="305"/>
      <c r="D94" s="305"/>
      <c r="E94" s="305"/>
      <c r="F94" s="305"/>
      <c r="G94" s="305"/>
      <c r="H94" s="305"/>
      <c r="I94" s="305"/>
      <c r="J94" s="305"/>
      <c r="K94" s="305"/>
      <c r="L94" s="305"/>
      <c r="M94" s="305"/>
    </row>
    <row r="95" spans="1:13" x14ac:dyDescent="0.2">
      <c r="A95" s="305"/>
      <c r="B95" s="305"/>
      <c r="C95" s="305"/>
      <c r="D95" s="305"/>
      <c r="E95" s="305"/>
      <c r="F95" s="305"/>
      <c r="G95" s="305"/>
      <c r="H95" s="305"/>
      <c r="I95" s="305"/>
      <c r="J95" s="305"/>
      <c r="K95" s="305"/>
      <c r="L95" s="305"/>
      <c r="M95" s="305"/>
    </row>
    <row r="96" spans="1:13" x14ac:dyDescent="0.2">
      <c r="A96" s="305"/>
      <c r="B96" s="305"/>
      <c r="C96" s="305"/>
      <c r="D96" s="305"/>
      <c r="E96" s="305"/>
      <c r="F96" s="305"/>
      <c r="G96" s="305"/>
      <c r="H96" s="305"/>
      <c r="I96" s="305"/>
      <c r="J96" s="305"/>
      <c r="K96" s="305"/>
      <c r="L96" s="305"/>
      <c r="M96" s="305"/>
    </row>
    <row r="97" spans="1:13" x14ac:dyDescent="0.2">
      <c r="A97" s="305"/>
      <c r="B97" s="305"/>
      <c r="C97" s="305"/>
      <c r="D97" s="305"/>
      <c r="E97" s="305"/>
      <c r="F97" s="305"/>
      <c r="G97" s="305"/>
      <c r="H97" s="305"/>
      <c r="I97" s="305"/>
      <c r="J97" s="305"/>
      <c r="K97" s="305"/>
      <c r="L97" s="305"/>
      <c r="M97" s="305"/>
    </row>
    <row r="98" spans="1:13" x14ac:dyDescent="0.2">
      <c r="A98" s="305"/>
      <c r="B98" s="305"/>
      <c r="C98" s="305"/>
      <c r="D98" s="305"/>
      <c r="E98" s="305"/>
      <c r="F98" s="305"/>
      <c r="G98" s="305"/>
      <c r="H98" s="305"/>
      <c r="I98" s="305"/>
      <c r="J98" s="305"/>
      <c r="K98" s="305"/>
      <c r="L98" s="305"/>
      <c r="M98" s="305"/>
    </row>
    <row r="99" spans="1:13" x14ac:dyDescent="0.2">
      <c r="A99" s="305"/>
      <c r="B99" s="305"/>
      <c r="C99" s="305"/>
      <c r="D99" s="305"/>
      <c r="E99" s="305"/>
      <c r="F99" s="305"/>
      <c r="G99" s="305"/>
      <c r="H99" s="305"/>
      <c r="I99" s="305"/>
      <c r="J99" s="305"/>
      <c r="K99" s="305"/>
      <c r="L99" s="305"/>
      <c r="M99" s="305"/>
    </row>
    <row r="100" spans="1:13" x14ac:dyDescent="0.2">
      <c r="A100" s="305"/>
      <c r="B100" s="305"/>
      <c r="C100" s="305"/>
      <c r="D100" s="305"/>
      <c r="E100" s="305"/>
      <c r="F100" s="305"/>
      <c r="G100" s="305"/>
      <c r="H100" s="305"/>
      <c r="I100" s="305"/>
      <c r="J100" s="305"/>
      <c r="K100" s="305"/>
      <c r="L100" s="305"/>
      <c r="M100" s="305"/>
    </row>
    <row r="101" spans="1:13" x14ac:dyDescent="0.2">
      <c r="A101" s="305"/>
      <c r="B101" s="305"/>
      <c r="C101" s="305"/>
      <c r="D101" s="305"/>
      <c r="E101" s="305"/>
      <c r="F101" s="305"/>
      <c r="G101" s="305"/>
      <c r="H101" s="305"/>
      <c r="I101" s="305"/>
      <c r="J101" s="305"/>
      <c r="K101" s="305"/>
      <c r="L101" s="305"/>
      <c r="M101" s="305"/>
    </row>
    <row r="102" spans="1:13" x14ac:dyDescent="0.2">
      <c r="A102" s="305"/>
      <c r="B102" s="305"/>
      <c r="C102" s="305"/>
      <c r="D102" s="305"/>
      <c r="E102" s="305"/>
      <c r="F102" s="305"/>
      <c r="G102" s="305"/>
      <c r="H102" s="305"/>
      <c r="I102" s="305"/>
      <c r="J102" s="305"/>
      <c r="K102" s="305"/>
      <c r="L102" s="305"/>
      <c r="M102" s="305"/>
    </row>
  </sheetData>
  <pageMargins left="0.5" right="0.5" top="0.75" bottom="0.75" header="0.5" footer="0.5"/>
  <pageSetup scale="85" orientation="landscape" r:id="rId1"/>
  <headerFooter alignWithMargins="0"/>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2:P102"/>
  <sheetViews>
    <sheetView zoomScaleNormal="100" workbookViewId="0">
      <pane xSplit="2" ySplit="6" topLeftCell="E82" activePane="bottomRight" state="frozen"/>
      <selection activeCell="L58" sqref="L58:L61"/>
      <selection pane="topRight" activeCell="L58" sqref="L58:L61"/>
      <selection pane="bottomLeft" activeCell="L58" sqref="L58:L61"/>
      <selection pane="bottomRight" activeCell="L123" sqref="L123"/>
    </sheetView>
  </sheetViews>
  <sheetFormatPr defaultRowHeight="11.25" x14ac:dyDescent="0.2"/>
  <cols>
    <col min="1" max="1" width="6" style="305" customWidth="1"/>
    <col min="2" max="2" width="17.85546875" style="305" customWidth="1"/>
    <col min="3" max="4" width="9.85546875" style="305" customWidth="1"/>
    <col min="5" max="5" width="11.28515625" style="305" customWidth="1"/>
    <col min="6" max="7" width="9.5703125" style="305" customWidth="1"/>
    <col min="8" max="8" width="9.85546875" style="305" customWidth="1"/>
    <col min="9" max="9" width="10.42578125" style="305" customWidth="1"/>
    <col min="10" max="10" width="10.7109375" style="305" customWidth="1"/>
    <col min="11" max="14" width="9.140625" style="305"/>
    <col min="15" max="15" width="10.7109375" style="305" bestFit="1" customWidth="1"/>
    <col min="16" max="16384" width="9.140625" style="305"/>
  </cols>
  <sheetData>
    <row r="2" spans="1:14" x14ac:dyDescent="0.2">
      <c r="B2" s="327" t="s">
        <v>95</v>
      </c>
      <c r="C2" s="349"/>
    </row>
    <row r="3" spans="1:14" x14ac:dyDescent="0.2">
      <c r="C3" s="349"/>
    </row>
    <row r="4" spans="1:14" x14ac:dyDescent="0.2">
      <c r="C4" s="347"/>
      <c r="D4" s="347"/>
      <c r="E4" s="347"/>
      <c r="F4" s="347"/>
      <c r="G4" s="347"/>
      <c r="H4" s="348"/>
      <c r="I4" s="348"/>
      <c r="J4" s="327"/>
    </row>
    <row r="5" spans="1:14" x14ac:dyDescent="0.2">
      <c r="C5" s="347"/>
      <c r="D5" s="347"/>
      <c r="E5" s="347"/>
      <c r="F5" s="347"/>
      <c r="G5" s="347"/>
      <c r="H5" s="348"/>
      <c r="I5" s="348"/>
      <c r="J5" s="347"/>
    </row>
    <row r="6" spans="1:14" ht="9.9499999999999993" customHeight="1" x14ac:dyDescent="0.2">
      <c r="C6" s="346">
        <v>42155</v>
      </c>
      <c r="D6" s="345">
        <f t="shared" ref="D6:N6" si="0">EOMONTH(C6,1)</f>
        <v>42185</v>
      </c>
      <c r="E6" s="345">
        <f t="shared" si="0"/>
        <v>42216</v>
      </c>
      <c r="F6" s="345">
        <f t="shared" si="0"/>
        <v>42247</v>
      </c>
      <c r="G6" s="345">
        <f t="shared" si="0"/>
        <v>42277</v>
      </c>
      <c r="H6" s="345">
        <f t="shared" si="0"/>
        <v>42308</v>
      </c>
      <c r="I6" s="345">
        <f t="shared" si="0"/>
        <v>42338</v>
      </c>
      <c r="J6" s="345">
        <f t="shared" si="0"/>
        <v>42369</v>
      </c>
      <c r="K6" s="345">
        <f t="shared" si="0"/>
        <v>42400</v>
      </c>
      <c r="L6" s="345">
        <f t="shared" si="0"/>
        <v>42429</v>
      </c>
      <c r="M6" s="345">
        <f t="shared" si="0"/>
        <v>42460</v>
      </c>
      <c r="N6" s="345">
        <f t="shared" si="0"/>
        <v>42490</v>
      </c>
    </row>
    <row r="7" spans="1:14" s="306" customFormat="1" x14ac:dyDescent="0.2">
      <c r="A7" s="344" t="s">
        <v>34</v>
      </c>
      <c r="C7" s="343">
        <v>3.12</v>
      </c>
      <c r="D7" s="343">
        <v>3.4</v>
      </c>
      <c r="E7" s="343">
        <v>2.84</v>
      </c>
      <c r="F7" s="343">
        <v>3.19</v>
      </c>
      <c r="G7" s="343">
        <v>2.94</v>
      </c>
      <c r="H7" s="343">
        <v>3.08</v>
      </c>
      <c r="I7" s="343">
        <v>3.83</v>
      </c>
      <c r="J7" s="343">
        <v>3.42</v>
      </c>
      <c r="K7" s="343">
        <v>3.68</v>
      </c>
      <c r="L7" s="343">
        <v>3.05</v>
      </c>
      <c r="M7" s="343">
        <v>3.84</v>
      </c>
      <c r="N7" s="343">
        <v>3.46</v>
      </c>
    </row>
    <row r="8" spans="1:14" x14ac:dyDescent="0.2">
      <c r="A8" s="305" t="s">
        <v>35</v>
      </c>
      <c r="C8" s="86">
        <v>0</v>
      </c>
      <c r="D8" s="86">
        <v>0</v>
      </c>
      <c r="E8" s="86">
        <v>0</v>
      </c>
      <c r="F8" s="86">
        <v>0</v>
      </c>
      <c r="G8" s="86">
        <v>0</v>
      </c>
      <c r="H8" s="86">
        <v>0</v>
      </c>
      <c r="I8" s="86">
        <v>0</v>
      </c>
      <c r="J8" s="86">
        <v>0</v>
      </c>
      <c r="K8" s="86">
        <v>0</v>
      </c>
      <c r="L8" s="86">
        <v>0</v>
      </c>
      <c r="M8" s="86">
        <v>0</v>
      </c>
      <c r="N8" s="86">
        <v>0</v>
      </c>
    </row>
    <row r="9" spans="1:14" x14ac:dyDescent="0.2">
      <c r="A9" s="305" t="s">
        <v>36</v>
      </c>
      <c r="C9" s="87">
        <f t="shared" ref="C9:N9" si="1">+C7*C8</f>
        <v>0</v>
      </c>
      <c r="D9" s="87">
        <f t="shared" si="1"/>
        <v>0</v>
      </c>
      <c r="E9" s="87">
        <f t="shared" si="1"/>
        <v>0</v>
      </c>
      <c r="F9" s="87">
        <f t="shared" si="1"/>
        <v>0</v>
      </c>
      <c r="G9" s="87">
        <f t="shared" si="1"/>
        <v>0</v>
      </c>
      <c r="H9" s="87">
        <f t="shared" si="1"/>
        <v>0</v>
      </c>
      <c r="I9" s="87">
        <f t="shared" si="1"/>
        <v>0</v>
      </c>
      <c r="J9" s="87">
        <f t="shared" si="1"/>
        <v>0</v>
      </c>
      <c r="K9" s="87">
        <f t="shared" si="1"/>
        <v>0</v>
      </c>
      <c r="L9" s="87">
        <f t="shared" si="1"/>
        <v>0</v>
      </c>
      <c r="M9" s="87">
        <f t="shared" si="1"/>
        <v>0</v>
      </c>
      <c r="N9" s="87">
        <f t="shared" si="1"/>
        <v>0</v>
      </c>
    </row>
    <row r="10" spans="1:14" x14ac:dyDescent="0.2">
      <c r="A10" s="327" t="s">
        <v>37</v>
      </c>
      <c r="C10" s="342">
        <f t="shared" ref="C10:N10" si="2">+C7-C9</f>
        <v>3.12</v>
      </c>
      <c r="D10" s="342">
        <f t="shared" si="2"/>
        <v>3.4</v>
      </c>
      <c r="E10" s="342">
        <f t="shared" si="2"/>
        <v>2.84</v>
      </c>
      <c r="F10" s="342">
        <f t="shared" si="2"/>
        <v>3.19</v>
      </c>
      <c r="G10" s="342">
        <f t="shared" si="2"/>
        <v>2.94</v>
      </c>
      <c r="H10" s="342">
        <f t="shared" si="2"/>
        <v>3.08</v>
      </c>
      <c r="I10" s="342">
        <f t="shared" si="2"/>
        <v>3.83</v>
      </c>
      <c r="J10" s="342">
        <f t="shared" si="2"/>
        <v>3.42</v>
      </c>
      <c r="K10" s="342">
        <f t="shared" si="2"/>
        <v>3.68</v>
      </c>
      <c r="L10" s="342">
        <f t="shared" si="2"/>
        <v>3.05</v>
      </c>
      <c r="M10" s="342">
        <f t="shared" si="2"/>
        <v>3.84</v>
      </c>
      <c r="N10" s="342">
        <f t="shared" si="2"/>
        <v>3.46</v>
      </c>
    </row>
    <row r="12" spans="1:14" x14ac:dyDescent="0.2">
      <c r="A12" s="327" t="s">
        <v>38</v>
      </c>
    </row>
    <row r="13" spans="1:14" s="332" customFormat="1" x14ac:dyDescent="0.2">
      <c r="B13" s="332" t="s">
        <v>24</v>
      </c>
      <c r="C13" s="341">
        <v>0.19500000000000001</v>
      </c>
      <c r="D13" s="341">
        <f t="shared" ref="D13:N13" si="3">+C13</f>
        <v>0.19500000000000001</v>
      </c>
      <c r="E13" s="341">
        <f t="shared" si="3"/>
        <v>0.19500000000000001</v>
      </c>
      <c r="F13" s="341">
        <f t="shared" si="3"/>
        <v>0.19500000000000001</v>
      </c>
      <c r="G13" s="341">
        <f t="shared" si="3"/>
        <v>0.19500000000000001</v>
      </c>
      <c r="H13" s="341">
        <f t="shared" si="3"/>
        <v>0.19500000000000001</v>
      </c>
      <c r="I13" s="341">
        <f t="shared" si="3"/>
        <v>0.19500000000000001</v>
      </c>
      <c r="J13" s="341">
        <f t="shared" si="3"/>
        <v>0.19500000000000001</v>
      </c>
      <c r="K13" s="341">
        <f t="shared" si="3"/>
        <v>0.19500000000000001</v>
      </c>
      <c r="L13" s="341">
        <f t="shared" si="3"/>
        <v>0.19500000000000001</v>
      </c>
      <c r="M13" s="341">
        <f t="shared" si="3"/>
        <v>0.19500000000000001</v>
      </c>
      <c r="N13" s="341">
        <f t="shared" si="3"/>
        <v>0.19500000000000001</v>
      </c>
    </row>
    <row r="14" spans="1:14" s="332" customFormat="1" x14ac:dyDescent="0.2">
      <c r="B14" s="332" t="s">
        <v>28</v>
      </c>
      <c r="C14" s="341">
        <v>0.1782</v>
      </c>
      <c r="D14" s="341">
        <f t="shared" ref="D14:N14" si="4">+C14</f>
        <v>0.1782</v>
      </c>
      <c r="E14" s="341">
        <f t="shared" si="4"/>
        <v>0.1782</v>
      </c>
      <c r="F14" s="341">
        <f t="shared" si="4"/>
        <v>0.1782</v>
      </c>
      <c r="G14" s="341">
        <f t="shared" si="4"/>
        <v>0.1782</v>
      </c>
      <c r="H14" s="341">
        <f t="shared" si="4"/>
        <v>0.1782</v>
      </c>
      <c r="I14" s="341">
        <f t="shared" si="4"/>
        <v>0.1782</v>
      </c>
      <c r="J14" s="341">
        <f t="shared" si="4"/>
        <v>0.1782</v>
      </c>
      <c r="K14" s="341">
        <f t="shared" si="4"/>
        <v>0.1782</v>
      </c>
      <c r="L14" s="341">
        <f t="shared" si="4"/>
        <v>0.1782</v>
      </c>
      <c r="M14" s="341">
        <f t="shared" si="4"/>
        <v>0.1782</v>
      </c>
      <c r="N14" s="341">
        <f t="shared" si="4"/>
        <v>0.1782</v>
      </c>
    </row>
    <row r="15" spans="1:14" s="332" customFormat="1" x14ac:dyDescent="0.2">
      <c r="B15" s="332" t="s">
        <v>39</v>
      </c>
      <c r="C15" s="341">
        <v>0</v>
      </c>
      <c r="D15" s="341">
        <f t="shared" ref="D15:N15" si="5">+C15</f>
        <v>0</v>
      </c>
      <c r="E15" s="341">
        <f t="shared" si="5"/>
        <v>0</v>
      </c>
      <c r="F15" s="341">
        <f t="shared" si="5"/>
        <v>0</v>
      </c>
      <c r="G15" s="341">
        <f t="shared" si="5"/>
        <v>0</v>
      </c>
      <c r="H15" s="341">
        <f t="shared" si="5"/>
        <v>0</v>
      </c>
      <c r="I15" s="341">
        <f t="shared" si="5"/>
        <v>0</v>
      </c>
      <c r="J15" s="341">
        <f t="shared" si="5"/>
        <v>0</v>
      </c>
      <c r="K15" s="341">
        <f t="shared" si="5"/>
        <v>0</v>
      </c>
      <c r="L15" s="341">
        <f t="shared" si="5"/>
        <v>0</v>
      </c>
      <c r="M15" s="341">
        <f t="shared" si="5"/>
        <v>0</v>
      </c>
      <c r="N15" s="341">
        <f t="shared" si="5"/>
        <v>0</v>
      </c>
    </row>
    <row r="16" spans="1:14" s="332" customFormat="1" x14ac:dyDescent="0.2">
      <c r="B16" s="332" t="s">
        <v>40</v>
      </c>
      <c r="C16" s="341">
        <v>1.6500000000000001E-2</v>
      </c>
      <c r="D16" s="341">
        <f t="shared" ref="D16:N16" si="6">+C16</f>
        <v>1.6500000000000001E-2</v>
      </c>
      <c r="E16" s="341">
        <f t="shared" si="6"/>
        <v>1.6500000000000001E-2</v>
      </c>
      <c r="F16" s="341">
        <f t="shared" si="6"/>
        <v>1.6500000000000001E-2</v>
      </c>
      <c r="G16" s="341">
        <f t="shared" si="6"/>
        <v>1.6500000000000001E-2</v>
      </c>
      <c r="H16" s="341">
        <f t="shared" si="6"/>
        <v>1.6500000000000001E-2</v>
      </c>
      <c r="I16" s="341">
        <f t="shared" si="6"/>
        <v>1.6500000000000001E-2</v>
      </c>
      <c r="J16" s="341">
        <f t="shared" si="6"/>
        <v>1.6500000000000001E-2</v>
      </c>
      <c r="K16" s="341">
        <f t="shared" si="6"/>
        <v>1.6500000000000001E-2</v>
      </c>
      <c r="L16" s="341">
        <f t="shared" si="6"/>
        <v>1.6500000000000001E-2</v>
      </c>
      <c r="M16" s="341">
        <f t="shared" si="6"/>
        <v>1.6500000000000001E-2</v>
      </c>
      <c r="N16" s="341">
        <f t="shared" si="6"/>
        <v>1.6500000000000001E-2</v>
      </c>
    </row>
    <row r="17" spans="1:14" s="332" customFormat="1" x14ac:dyDescent="0.2">
      <c r="B17" s="332" t="s">
        <v>41</v>
      </c>
      <c r="C17" s="341">
        <v>4.4900000000000002E-2</v>
      </c>
      <c r="D17" s="341">
        <f t="shared" ref="D17:N17" si="7">+C17</f>
        <v>4.4900000000000002E-2</v>
      </c>
      <c r="E17" s="341">
        <f t="shared" si="7"/>
        <v>4.4900000000000002E-2</v>
      </c>
      <c r="F17" s="341">
        <f t="shared" si="7"/>
        <v>4.4900000000000002E-2</v>
      </c>
      <c r="G17" s="341">
        <f t="shared" si="7"/>
        <v>4.4900000000000002E-2</v>
      </c>
      <c r="H17" s="341">
        <f t="shared" si="7"/>
        <v>4.4900000000000002E-2</v>
      </c>
      <c r="I17" s="341">
        <f t="shared" si="7"/>
        <v>4.4900000000000002E-2</v>
      </c>
      <c r="J17" s="341">
        <f t="shared" si="7"/>
        <v>4.4900000000000002E-2</v>
      </c>
      <c r="K17" s="341">
        <f t="shared" si="7"/>
        <v>4.4900000000000002E-2</v>
      </c>
      <c r="L17" s="341">
        <f t="shared" si="7"/>
        <v>4.4900000000000002E-2</v>
      </c>
      <c r="M17" s="341">
        <f t="shared" si="7"/>
        <v>4.4900000000000002E-2</v>
      </c>
      <c r="N17" s="341">
        <f t="shared" si="7"/>
        <v>4.4900000000000002E-2</v>
      </c>
    </row>
    <row r="18" spans="1:14" s="332" customFormat="1" x14ac:dyDescent="0.2">
      <c r="B18" s="332" t="s">
        <v>42</v>
      </c>
      <c r="C18" s="341">
        <v>7.4999999999999997E-3</v>
      </c>
      <c r="D18" s="341">
        <f t="shared" ref="D18:N18" si="8">+C18</f>
        <v>7.4999999999999997E-3</v>
      </c>
      <c r="E18" s="341">
        <f t="shared" si="8"/>
        <v>7.4999999999999997E-3</v>
      </c>
      <c r="F18" s="341">
        <f t="shared" si="8"/>
        <v>7.4999999999999997E-3</v>
      </c>
      <c r="G18" s="341">
        <f t="shared" si="8"/>
        <v>7.4999999999999997E-3</v>
      </c>
      <c r="H18" s="341">
        <f t="shared" si="8"/>
        <v>7.4999999999999997E-3</v>
      </c>
      <c r="I18" s="341">
        <f t="shared" si="8"/>
        <v>7.4999999999999997E-3</v>
      </c>
      <c r="J18" s="341">
        <f t="shared" si="8"/>
        <v>7.4999999999999997E-3</v>
      </c>
      <c r="K18" s="341">
        <f t="shared" si="8"/>
        <v>7.4999999999999997E-3</v>
      </c>
      <c r="L18" s="341">
        <f t="shared" si="8"/>
        <v>7.4999999999999997E-3</v>
      </c>
      <c r="M18" s="341">
        <f t="shared" si="8"/>
        <v>7.4999999999999997E-3</v>
      </c>
      <c r="N18" s="341">
        <f t="shared" si="8"/>
        <v>7.4999999999999997E-3</v>
      </c>
    </row>
    <row r="19" spans="1:14" s="332" customFormat="1" x14ac:dyDescent="0.2">
      <c r="B19" s="305" t="s">
        <v>43</v>
      </c>
      <c r="C19" s="341">
        <v>0</v>
      </c>
      <c r="D19" s="341">
        <f t="shared" ref="D19:N19" si="9">+C19</f>
        <v>0</v>
      </c>
      <c r="E19" s="341">
        <f t="shared" si="9"/>
        <v>0</v>
      </c>
      <c r="F19" s="341">
        <f t="shared" si="9"/>
        <v>0</v>
      </c>
      <c r="G19" s="341">
        <f t="shared" si="9"/>
        <v>0</v>
      </c>
      <c r="H19" s="341">
        <f t="shared" si="9"/>
        <v>0</v>
      </c>
      <c r="I19" s="341">
        <f t="shared" si="9"/>
        <v>0</v>
      </c>
      <c r="J19" s="341">
        <f t="shared" si="9"/>
        <v>0</v>
      </c>
      <c r="K19" s="341">
        <f t="shared" si="9"/>
        <v>0</v>
      </c>
      <c r="L19" s="341">
        <f t="shared" si="9"/>
        <v>0</v>
      </c>
      <c r="M19" s="341">
        <f t="shared" si="9"/>
        <v>0</v>
      </c>
      <c r="N19" s="341">
        <f t="shared" si="9"/>
        <v>0</v>
      </c>
    </row>
    <row r="20" spans="1:14" s="332" customFormat="1" x14ac:dyDescent="0.2">
      <c r="B20" s="305" t="s">
        <v>22</v>
      </c>
      <c r="C20" s="341">
        <v>0.17680000000000001</v>
      </c>
      <c r="D20" s="341">
        <f t="shared" ref="D20:N20" si="10">+C20</f>
        <v>0.17680000000000001</v>
      </c>
      <c r="E20" s="341">
        <f t="shared" si="10"/>
        <v>0.17680000000000001</v>
      </c>
      <c r="F20" s="341">
        <f t="shared" si="10"/>
        <v>0.17680000000000001</v>
      </c>
      <c r="G20" s="341">
        <f t="shared" si="10"/>
        <v>0.17680000000000001</v>
      </c>
      <c r="H20" s="341">
        <f t="shared" si="10"/>
        <v>0.17680000000000001</v>
      </c>
      <c r="I20" s="341">
        <f t="shared" si="10"/>
        <v>0.17680000000000001</v>
      </c>
      <c r="J20" s="341">
        <f t="shared" si="10"/>
        <v>0.17680000000000001</v>
      </c>
      <c r="K20" s="341">
        <f t="shared" si="10"/>
        <v>0.17680000000000001</v>
      </c>
      <c r="L20" s="341">
        <f t="shared" si="10"/>
        <v>0.17680000000000001</v>
      </c>
      <c r="M20" s="341">
        <f t="shared" si="10"/>
        <v>0.17680000000000001</v>
      </c>
      <c r="N20" s="341">
        <f t="shared" si="10"/>
        <v>0.17680000000000001</v>
      </c>
    </row>
    <row r="21" spans="1:14" s="332" customFormat="1" x14ac:dyDescent="0.2">
      <c r="B21" s="332" t="s">
        <v>44</v>
      </c>
      <c r="C21" s="341">
        <v>0</v>
      </c>
      <c r="D21" s="341">
        <f t="shared" ref="D21:N21" si="11">+C21</f>
        <v>0</v>
      </c>
      <c r="E21" s="341">
        <f t="shared" si="11"/>
        <v>0</v>
      </c>
      <c r="F21" s="341">
        <f t="shared" si="11"/>
        <v>0</v>
      </c>
      <c r="G21" s="341">
        <f t="shared" si="11"/>
        <v>0</v>
      </c>
      <c r="H21" s="341">
        <f t="shared" si="11"/>
        <v>0</v>
      </c>
      <c r="I21" s="341">
        <f t="shared" si="11"/>
        <v>0</v>
      </c>
      <c r="J21" s="341">
        <f t="shared" si="11"/>
        <v>0</v>
      </c>
      <c r="K21" s="341">
        <f t="shared" si="11"/>
        <v>0</v>
      </c>
      <c r="L21" s="341">
        <f t="shared" si="11"/>
        <v>0</v>
      </c>
      <c r="M21" s="341">
        <f t="shared" si="11"/>
        <v>0</v>
      </c>
      <c r="N21" s="341">
        <f t="shared" si="11"/>
        <v>0</v>
      </c>
    </row>
    <row r="22" spans="1:14" s="332" customFormat="1" x14ac:dyDescent="0.2">
      <c r="B22" s="332" t="s">
        <v>45</v>
      </c>
      <c r="C22" s="341">
        <v>5.930000000000013E-2</v>
      </c>
      <c r="D22" s="341">
        <f t="shared" ref="D22:N22" si="12">+C22</f>
        <v>5.930000000000013E-2</v>
      </c>
      <c r="E22" s="341">
        <f t="shared" si="12"/>
        <v>5.930000000000013E-2</v>
      </c>
      <c r="F22" s="341">
        <f t="shared" si="12"/>
        <v>5.930000000000013E-2</v>
      </c>
      <c r="G22" s="341">
        <f t="shared" si="12"/>
        <v>5.930000000000013E-2</v>
      </c>
      <c r="H22" s="341">
        <f t="shared" si="12"/>
        <v>5.930000000000013E-2</v>
      </c>
      <c r="I22" s="341">
        <f t="shared" si="12"/>
        <v>5.930000000000013E-2</v>
      </c>
      <c r="J22" s="341">
        <f t="shared" si="12"/>
        <v>5.930000000000013E-2</v>
      </c>
      <c r="K22" s="341">
        <f t="shared" si="12"/>
        <v>5.930000000000013E-2</v>
      </c>
      <c r="L22" s="341">
        <f t="shared" si="12"/>
        <v>5.930000000000013E-2</v>
      </c>
      <c r="M22" s="341">
        <f t="shared" si="12"/>
        <v>5.930000000000013E-2</v>
      </c>
      <c r="N22" s="341">
        <f t="shared" si="12"/>
        <v>5.930000000000013E-2</v>
      </c>
    </row>
    <row r="23" spans="1:14" s="332" customFormat="1" x14ac:dyDescent="0.2">
      <c r="B23" s="332" t="s">
        <v>46</v>
      </c>
      <c r="C23" s="91">
        <v>0.32179999999999997</v>
      </c>
      <c r="D23" s="341">
        <f t="shared" ref="D23:N23" si="13">+C23</f>
        <v>0.32179999999999997</v>
      </c>
      <c r="E23" s="341">
        <f t="shared" si="13"/>
        <v>0.32179999999999997</v>
      </c>
      <c r="F23" s="341">
        <f t="shared" si="13"/>
        <v>0.32179999999999997</v>
      </c>
      <c r="G23" s="341">
        <f t="shared" si="13"/>
        <v>0.32179999999999997</v>
      </c>
      <c r="H23" s="341">
        <f t="shared" si="13"/>
        <v>0.32179999999999997</v>
      </c>
      <c r="I23" s="341">
        <f t="shared" si="13"/>
        <v>0.32179999999999997</v>
      </c>
      <c r="J23" s="341">
        <f t="shared" si="13"/>
        <v>0.32179999999999997</v>
      </c>
      <c r="K23" s="341">
        <f t="shared" si="13"/>
        <v>0.32179999999999997</v>
      </c>
      <c r="L23" s="341">
        <f t="shared" si="13"/>
        <v>0.32179999999999997</v>
      </c>
      <c r="M23" s="341">
        <f t="shared" si="13"/>
        <v>0.32179999999999997</v>
      </c>
      <c r="N23" s="341">
        <f t="shared" si="13"/>
        <v>0.32179999999999997</v>
      </c>
    </row>
    <row r="24" spans="1:14" x14ac:dyDescent="0.2">
      <c r="C24" s="92">
        <v>1</v>
      </c>
      <c r="D24" s="92">
        <v>1</v>
      </c>
      <c r="E24" s="92">
        <v>1</v>
      </c>
      <c r="F24" s="92">
        <v>1</v>
      </c>
      <c r="G24" s="92">
        <v>1</v>
      </c>
      <c r="H24" s="92">
        <v>1</v>
      </c>
      <c r="I24" s="92">
        <v>1</v>
      </c>
      <c r="J24" s="92">
        <v>1</v>
      </c>
      <c r="K24" s="92">
        <v>1</v>
      </c>
      <c r="L24" s="92">
        <v>1</v>
      </c>
      <c r="M24" s="92">
        <v>1</v>
      </c>
      <c r="N24" s="92">
        <v>1</v>
      </c>
    </row>
    <row r="26" spans="1:14" x14ac:dyDescent="0.2">
      <c r="A26" s="327" t="s">
        <v>47</v>
      </c>
    </row>
    <row r="27" spans="1:14" x14ac:dyDescent="0.2">
      <c r="B27" s="305" t="s">
        <v>24</v>
      </c>
      <c r="C27" s="70">
        <f t="shared" ref="C27:N27" si="14">+C$10*C13</f>
        <v>0.60840000000000005</v>
      </c>
      <c r="D27" s="70">
        <f t="shared" si="14"/>
        <v>0.66300000000000003</v>
      </c>
      <c r="E27" s="70">
        <f t="shared" si="14"/>
        <v>0.55379999999999996</v>
      </c>
      <c r="F27" s="70">
        <f t="shared" si="14"/>
        <v>0.62204999999999999</v>
      </c>
      <c r="G27" s="70">
        <f t="shared" si="14"/>
        <v>0.57330000000000003</v>
      </c>
      <c r="H27" s="70">
        <f t="shared" si="14"/>
        <v>0.60060000000000002</v>
      </c>
      <c r="I27" s="70">
        <f t="shared" si="14"/>
        <v>0.74685000000000001</v>
      </c>
      <c r="J27" s="70">
        <f t="shared" si="14"/>
        <v>0.66690000000000005</v>
      </c>
      <c r="K27" s="70">
        <f t="shared" si="14"/>
        <v>0.71760000000000002</v>
      </c>
      <c r="L27" s="70">
        <f t="shared" si="14"/>
        <v>0.59475</v>
      </c>
      <c r="M27" s="70">
        <f t="shared" si="14"/>
        <v>0.74880000000000002</v>
      </c>
      <c r="N27" s="70">
        <f t="shared" si="14"/>
        <v>0.67469999999999997</v>
      </c>
    </row>
    <row r="28" spans="1:14" x14ac:dyDescent="0.2">
      <c r="B28" s="305" t="s">
        <v>28</v>
      </c>
      <c r="C28" s="70">
        <f t="shared" ref="C28:N28" si="15">+C$10*C14</f>
        <v>0.55598400000000003</v>
      </c>
      <c r="D28" s="70">
        <f t="shared" si="15"/>
        <v>0.60587999999999997</v>
      </c>
      <c r="E28" s="70">
        <f t="shared" si="15"/>
        <v>0.50608799999999998</v>
      </c>
      <c r="F28" s="70">
        <f t="shared" si="15"/>
        <v>0.56845800000000002</v>
      </c>
      <c r="G28" s="70">
        <f t="shared" si="15"/>
        <v>0.52390799999999993</v>
      </c>
      <c r="H28" s="70">
        <f t="shared" si="15"/>
        <v>0.54885600000000001</v>
      </c>
      <c r="I28" s="70">
        <f t="shared" si="15"/>
        <v>0.68250600000000006</v>
      </c>
      <c r="J28" s="70">
        <f t="shared" si="15"/>
        <v>0.60944399999999999</v>
      </c>
      <c r="K28" s="70">
        <f t="shared" si="15"/>
        <v>0.65577600000000003</v>
      </c>
      <c r="L28" s="70">
        <f t="shared" si="15"/>
        <v>0.54350999999999994</v>
      </c>
      <c r="M28" s="70">
        <f t="shared" si="15"/>
        <v>0.68428800000000001</v>
      </c>
      <c r="N28" s="70">
        <f t="shared" si="15"/>
        <v>0.61657200000000001</v>
      </c>
    </row>
    <row r="29" spans="1:14" x14ac:dyDescent="0.2">
      <c r="B29" s="305" t="s">
        <v>39</v>
      </c>
      <c r="C29" s="70">
        <f t="shared" ref="C29:N29" si="16">+C$10*C15</f>
        <v>0</v>
      </c>
      <c r="D29" s="70">
        <f t="shared" si="16"/>
        <v>0</v>
      </c>
      <c r="E29" s="70">
        <f t="shared" si="16"/>
        <v>0</v>
      </c>
      <c r="F29" s="70">
        <f t="shared" si="16"/>
        <v>0</v>
      </c>
      <c r="G29" s="70">
        <f t="shared" si="16"/>
        <v>0</v>
      </c>
      <c r="H29" s="70">
        <f t="shared" si="16"/>
        <v>0</v>
      </c>
      <c r="I29" s="70">
        <f t="shared" si="16"/>
        <v>0</v>
      </c>
      <c r="J29" s="70">
        <f t="shared" si="16"/>
        <v>0</v>
      </c>
      <c r="K29" s="70">
        <f t="shared" si="16"/>
        <v>0</v>
      </c>
      <c r="L29" s="70">
        <f t="shared" si="16"/>
        <v>0</v>
      </c>
      <c r="M29" s="70">
        <f t="shared" si="16"/>
        <v>0</v>
      </c>
      <c r="N29" s="70">
        <f t="shared" si="16"/>
        <v>0</v>
      </c>
    </row>
    <row r="30" spans="1:14" x14ac:dyDescent="0.2">
      <c r="B30" s="305" t="s">
        <v>40</v>
      </c>
      <c r="C30" s="70">
        <f t="shared" ref="C30:N30" si="17">+C$10*C16</f>
        <v>5.1480000000000005E-2</v>
      </c>
      <c r="D30" s="70">
        <f t="shared" si="17"/>
        <v>5.6100000000000004E-2</v>
      </c>
      <c r="E30" s="70">
        <f t="shared" si="17"/>
        <v>4.6859999999999999E-2</v>
      </c>
      <c r="F30" s="70">
        <f t="shared" si="17"/>
        <v>5.2635000000000001E-2</v>
      </c>
      <c r="G30" s="70">
        <f t="shared" si="17"/>
        <v>4.8510000000000005E-2</v>
      </c>
      <c r="H30" s="70">
        <f t="shared" si="17"/>
        <v>5.0820000000000004E-2</v>
      </c>
      <c r="I30" s="70">
        <f t="shared" si="17"/>
        <v>6.3195000000000001E-2</v>
      </c>
      <c r="J30" s="70">
        <f t="shared" si="17"/>
        <v>5.6430000000000001E-2</v>
      </c>
      <c r="K30" s="70">
        <f t="shared" si="17"/>
        <v>6.0720000000000003E-2</v>
      </c>
      <c r="L30" s="70">
        <f t="shared" si="17"/>
        <v>5.0325000000000002E-2</v>
      </c>
      <c r="M30" s="70">
        <f t="shared" si="17"/>
        <v>6.336E-2</v>
      </c>
      <c r="N30" s="70">
        <f t="shared" si="17"/>
        <v>5.7090000000000002E-2</v>
      </c>
    </row>
    <row r="31" spans="1:14" x14ac:dyDescent="0.2">
      <c r="B31" s="305" t="s">
        <v>41</v>
      </c>
      <c r="C31" s="70">
        <f t="shared" ref="C31:N31" si="18">+C$10*C17</f>
        <v>0.14008800000000002</v>
      </c>
      <c r="D31" s="70">
        <f t="shared" si="18"/>
        <v>0.15266000000000002</v>
      </c>
      <c r="E31" s="70">
        <f t="shared" si="18"/>
        <v>0.12751599999999999</v>
      </c>
      <c r="F31" s="70">
        <f t="shared" si="18"/>
        <v>0.143231</v>
      </c>
      <c r="G31" s="70">
        <f t="shared" si="18"/>
        <v>0.13200600000000001</v>
      </c>
      <c r="H31" s="70">
        <f t="shared" si="18"/>
        <v>0.138292</v>
      </c>
      <c r="I31" s="70">
        <f t="shared" si="18"/>
        <v>0.17196700000000001</v>
      </c>
      <c r="J31" s="70">
        <f t="shared" si="18"/>
        <v>0.153558</v>
      </c>
      <c r="K31" s="70">
        <f t="shared" si="18"/>
        <v>0.16523200000000002</v>
      </c>
      <c r="L31" s="70">
        <f t="shared" si="18"/>
        <v>0.13694500000000001</v>
      </c>
      <c r="M31" s="70">
        <f t="shared" si="18"/>
        <v>0.17241600000000001</v>
      </c>
      <c r="N31" s="70">
        <f t="shared" si="18"/>
        <v>0.15535400000000002</v>
      </c>
    </row>
    <row r="32" spans="1:14" x14ac:dyDescent="0.2">
      <c r="B32" s="305" t="s">
        <v>42</v>
      </c>
      <c r="C32" s="70">
        <f t="shared" ref="C32:N32" si="19">+C$10*C18</f>
        <v>2.3400000000000001E-2</v>
      </c>
      <c r="D32" s="70">
        <f t="shared" si="19"/>
        <v>2.5499999999999998E-2</v>
      </c>
      <c r="E32" s="70">
        <f t="shared" si="19"/>
        <v>2.1299999999999999E-2</v>
      </c>
      <c r="F32" s="70">
        <f t="shared" si="19"/>
        <v>2.3924999999999998E-2</v>
      </c>
      <c r="G32" s="70">
        <f t="shared" si="19"/>
        <v>2.205E-2</v>
      </c>
      <c r="H32" s="70">
        <f t="shared" si="19"/>
        <v>2.3099999999999999E-2</v>
      </c>
      <c r="I32" s="70">
        <f t="shared" si="19"/>
        <v>2.8725000000000001E-2</v>
      </c>
      <c r="J32" s="70">
        <f t="shared" si="19"/>
        <v>2.5649999999999999E-2</v>
      </c>
      <c r="K32" s="70">
        <f t="shared" si="19"/>
        <v>2.76E-2</v>
      </c>
      <c r="L32" s="70">
        <f t="shared" si="19"/>
        <v>2.2875E-2</v>
      </c>
      <c r="M32" s="70">
        <f t="shared" si="19"/>
        <v>2.8799999999999999E-2</v>
      </c>
      <c r="N32" s="70">
        <f t="shared" si="19"/>
        <v>2.5949999999999997E-2</v>
      </c>
    </row>
    <row r="33" spans="1:14" x14ac:dyDescent="0.2">
      <c r="B33" s="305" t="s">
        <v>43</v>
      </c>
      <c r="C33" s="70">
        <f t="shared" ref="C33:N33" si="20">+C$10*C19</f>
        <v>0</v>
      </c>
      <c r="D33" s="70">
        <f t="shared" si="20"/>
        <v>0</v>
      </c>
      <c r="E33" s="70">
        <f t="shared" si="20"/>
        <v>0</v>
      </c>
      <c r="F33" s="70">
        <f t="shared" si="20"/>
        <v>0</v>
      </c>
      <c r="G33" s="70">
        <f t="shared" si="20"/>
        <v>0</v>
      </c>
      <c r="H33" s="70">
        <f t="shared" si="20"/>
        <v>0</v>
      </c>
      <c r="I33" s="70">
        <f t="shared" si="20"/>
        <v>0</v>
      </c>
      <c r="J33" s="70">
        <f t="shared" si="20"/>
        <v>0</v>
      </c>
      <c r="K33" s="70">
        <f t="shared" si="20"/>
        <v>0</v>
      </c>
      <c r="L33" s="70">
        <f t="shared" si="20"/>
        <v>0</v>
      </c>
      <c r="M33" s="70">
        <f t="shared" si="20"/>
        <v>0</v>
      </c>
      <c r="N33" s="70">
        <f t="shared" si="20"/>
        <v>0</v>
      </c>
    </row>
    <row r="34" spans="1:14" x14ac:dyDescent="0.2">
      <c r="B34" s="305" t="s">
        <v>22</v>
      </c>
      <c r="C34" s="70">
        <f t="shared" ref="C34:N34" si="21">+C$10*C20</f>
        <v>0.55161600000000011</v>
      </c>
      <c r="D34" s="70">
        <f t="shared" si="21"/>
        <v>0.60111999999999999</v>
      </c>
      <c r="E34" s="70">
        <f t="shared" si="21"/>
        <v>0.502112</v>
      </c>
      <c r="F34" s="70">
        <f t="shared" si="21"/>
        <v>0.56399200000000005</v>
      </c>
      <c r="G34" s="70">
        <f t="shared" si="21"/>
        <v>0.51979200000000003</v>
      </c>
      <c r="H34" s="70">
        <f t="shared" si="21"/>
        <v>0.54454400000000003</v>
      </c>
      <c r="I34" s="70">
        <f t="shared" si="21"/>
        <v>0.67714400000000008</v>
      </c>
      <c r="J34" s="70">
        <f t="shared" si="21"/>
        <v>0.60465600000000008</v>
      </c>
      <c r="K34" s="70">
        <f t="shared" si="21"/>
        <v>0.65062400000000009</v>
      </c>
      <c r="L34" s="70">
        <f t="shared" si="21"/>
        <v>0.53924000000000005</v>
      </c>
      <c r="M34" s="70">
        <f t="shared" si="21"/>
        <v>0.67891200000000007</v>
      </c>
      <c r="N34" s="70">
        <f t="shared" si="21"/>
        <v>0.61172800000000005</v>
      </c>
    </row>
    <row r="35" spans="1:14" x14ac:dyDescent="0.2">
      <c r="B35" s="305" t="s">
        <v>44</v>
      </c>
      <c r="C35" s="70">
        <f t="shared" ref="C35:N35" si="22">+C$10*C21</f>
        <v>0</v>
      </c>
      <c r="D35" s="70">
        <f t="shared" si="22"/>
        <v>0</v>
      </c>
      <c r="E35" s="70">
        <f t="shared" si="22"/>
        <v>0</v>
      </c>
      <c r="F35" s="70">
        <f t="shared" si="22"/>
        <v>0</v>
      </c>
      <c r="G35" s="70">
        <f t="shared" si="22"/>
        <v>0</v>
      </c>
      <c r="H35" s="70">
        <f t="shared" si="22"/>
        <v>0</v>
      </c>
      <c r="I35" s="70">
        <f t="shared" si="22"/>
        <v>0</v>
      </c>
      <c r="J35" s="70">
        <f t="shared" si="22"/>
        <v>0</v>
      </c>
      <c r="K35" s="70">
        <f t="shared" si="22"/>
        <v>0</v>
      </c>
      <c r="L35" s="70">
        <f t="shared" si="22"/>
        <v>0</v>
      </c>
      <c r="M35" s="70">
        <f t="shared" si="22"/>
        <v>0</v>
      </c>
      <c r="N35" s="70">
        <f t="shared" si="22"/>
        <v>0</v>
      </c>
    </row>
    <row r="36" spans="1:14" x14ac:dyDescent="0.2">
      <c r="B36" s="305" t="s">
        <v>45</v>
      </c>
      <c r="C36" s="70">
        <f t="shared" ref="C36:N36" si="23">+C$10*C22</f>
        <v>0.1850160000000004</v>
      </c>
      <c r="D36" s="70">
        <f t="shared" si="23"/>
        <v>0.20162000000000044</v>
      </c>
      <c r="E36" s="70">
        <f t="shared" si="23"/>
        <v>0.16841200000000037</v>
      </c>
      <c r="F36" s="70">
        <f t="shared" si="23"/>
        <v>0.18916700000000042</v>
      </c>
      <c r="G36" s="70">
        <f t="shared" si="23"/>
        <v>0.17434200000000039</v>
      </c>
      <c r="H36" s="70">
        <f t="shared" si="23"/>
        <v>0.18264400000000042</v>
      </c>
      <c r="I36" s="70">
        <f t="shared" si="23"/>
        <v>0.22711900000000051</v>
      </c>
      <c r="J36" s="70">
        <f t="shared" si="23"/>
        <v>0.20280600000000043</v>
      </c>
      <c r="K36" s="70">
        <f t="shared" si="23"/>
        <v>0.2182240000000005</v>
      </c>
      <c r="L36" s="70">
        <f t="shared" si="23"/>
        <v>0.18086500000000039</v>
      </c>
      <c r="M36" s="70">
        <f t="shared" si="23"/>
        <v>0.2277120000000005</v>
      </c>
      <c r="N36" s="70">
        <f t="shared" si="23"/>
        <v>0.20517800000000044</v>
      </c>
    </row>
    <row r="37" spans="1:14" x14ac:dyDescent="0.2">
      <c r="B37" s="305" t="s">
        <v>46</v>
      </c>
      <c r="C37" s="87">
        <f t="shared" ref="C37:N37" si="24">+C$10*C23</f>
        <v>1.004016</v>
      </c>
      <c r="D37" s="87">
        <f t="shared" si="24"/>
        <v>1.09412</v>
      </c>
      <c r="E37" s="87">
        <f t="shared" si="24"/>
        <v>0.91391199999999984</v>
      </c>
      <c r="F37" s="87">
        <f t="shared" si="24"/>
        <v>1.0265419999999998</v>
      </c>
      <c r="G37" s="87">
        <f t="shared" si="24"/>
        <v>0.94609199999999993</v>
      </c>
      <c r="H37" s="87">
        <f t="shared" si="24"/>
        <v>0.99114399999999991</v>
      </c>
      <c r="I37" s="87">
        <f t="shared" si="24"/>
        <v>1.232494</v>
      </c>
      <c r="J37" s="87">
        <f t="shared" si="24"/>
        <v>1.1005559999999999</v>
      </c>
      <c r="K37" s="87">
        <f t="shared" si="24"/>
        <v>1.1842239999999999</v>
      </c>
      <c r="L37" s="87">
        <f t="shared" si="24"/>
        <v>0.98148999999999986</v>
      </c>
      <c r="M37" s="87">
        <f t="shared" si="24"/>
        <v>1.2357119999999999</v>
      </c>
      <c r="N37" s="87">
        <f t="shared" si="24"/>
        <v>1.1134279999999999</v>
      </c>
    </row>
    <row r="38" spans="1:14" x14ac:dyDescent="0.2">
      <c r="C38" s="70">
        <f t="shared" ref="C38:N38" si="25">SUM(C27:C37)</f>
        <v>3.1200000000000006</v>
      </c>
      <c r="D38" s="70">
        <f t="shared" si="25"/>
        <v>3.4000000000000004</v>
      </c>
      <c r="E38" s="70">
        <f t="shared" si="25"/>
        <v>2.8400000000000003</v>
      </c>
      <c r="F38" s="70">
        <f t="shared" si="25"/>
        <v>3.1900000000000004</v>
      </c>
      <c r="G38" s="70">
        <f t="shared" si="25"/>
        <v>2.9400000000000004</v>
      </c>
      <c r="H38" s="70">
        <f t="shared" si="25"/>
        <v>3.08</v>
      </c>
      <c r="I38" s="70">
        <f t="shared" si="25"/>
        <v>3.830000000000001</v>
      </c>
      <c r="J38" s="70">
        <f t="shared" si="25"/>
        <v>3.42</v>
      </c>
      <c r="K38" s="70">
        <f t="shared" si="25"/>
        <v>3.6800000000000006</v>
      </c>
      <c r="L38" s="70">
        <f t="shared" si="25"/>
        <v>3.0500000000000003</v>
      </c>
      <c r="M38" s="70">
        <f t="shared" si="25"/>
        <v>3.8400000000000003</v>
      </c>
      <c r="N38" s="70">
        <f t="shared" si="25"/>
        <v>3.4600000000000004</v>
      </c>
    </row>
    <row r="40" spans="1:14" x14ac:dyDescent="0.2">
      <c r="A40" s="327" t="s">
        <v>48</v>
      </c>
    </row>
    <row r="41" spans="1:14" x14ac:dyDescent="0.2">
      <c r="B41" s="305" t="s">
        <v>24</v>
      </c>
      <c r="C41" s="175">
        <v>1</v>
      </c>
      <c r="D41" s="94">
        <v>1</v>
      </c>
      <c r="E41" s="94">
        <v>1</v>
      </c>
      <c r="F41" s="94">
        <v>1</v>
      </c>
      <c r="G41" s="94">
        <v>1</v>
      </c>
      <c r="H41" s="94">
        <v>1</v>
      </c>
      <c r="I41" s="94">
        <v>1</v>
      </c>
      <c r="J41" s="94">
        <v>1</v>
      </c>
      <c r="K41" s="94">
        <v>1</v>
      </c>
      <c r="L41" s="94">
        <v>1</v>
      </c>
      <c r="M41" s="94">
        <v>1</v>
      </c>
      <c r="N41" s="94">
        <v>1</v>
      </c>
    </row>
    <row r="42" spans="1:14" x14ac:dyDescent="0.2">
      <c r="B42" s="305" t="s">
        <v>28</v>
      </c>
      <c r="C42" s="175">
        <v>1</v>
      </c>
      <c r="D42" s="94">
        <v>1</v>
      </c>
      <c r="E42" s="94">
        <v>1</v>
      </c>
      <c r="F42" s="94">
        <v>1</v>
      </c>
      <c r="G42" s="94">
        <v>1</v>
      </c>
      <c r="H42" s="94">
        <v>1</v>
      </c>
      <c r="I42" s="94">
        <v>1</v>
      </c>
      <c r="J42" s="94">
        <v>1</v>
      </c>
      <c r="K42" s="94">
        <v>1</v>
      </c>
      <c r="L42" s="94">
        <v>1</v>
      </c>
      <c r="M42" s="94">
        <v>1</v>
      </c>
      <c r="N42" s="94">
        <v>1</v>
      </c>
    </row>
    <row r="43" spans="1:14" x14ac:dyDescent="0.2">
      <c r="B43" s="305" t="s">
        <v>39</v>
      </c>
      <c r="C43" s="175">
        <v>1</v>
      </c>
      <c r="D43" s="94">
        <v>1</v>
      </c>
      <c r="E43" s="94">
        <v>1</v>
      </c>
      <c r="F43" s="94">
        <v>1</v>
      </c>
      <c r="G43" s="94">
        <v>1</v>
      </c>
      <c r="H43" s="94">
        <v>1</v>
      </c>
      <c r="I43" s="94">
        <v>1</v>
      </c>
      <c r="J43" s="94">
        <v>1</v>
      </c>
      <c r="K43" s="94">
        <v>1</v>
      </c>
      <c r="L43" s="94">
        <v>1</v>
      </c>
      <c r="M43" s="94">
        <v>1</v>
      </c>
      <c r="N43" s="94">
        <v>1</v>
      </c>
    </row>
    <row r="44" spans="1:14" x14ac:dyDescent="0.2">
      <c r="B44" s="305" t="s">
        <v>40</v>
      </c>
      <c r="C44" s="175">
        <v>1</v>
      </c>
      <c r="D44" s="94">
        <v>1</v>
      </c>
      <c r="E44" s="94">
        <v>1</v>
      </c>
      <c r="F44" s="94">
        <v>1</v>
      </c>
      <c r="G44" s="94">
        <v>1</v>
      </c>
      <c r="H44" s="94">
        <v>1</v>
      </c>
      <c r="I44" s="94">
        <v>1</v>
      </c>
      <c r="J44" s="94">
        <v>1</v>
      </c>
      <c r="K44" s="94">
        <v>1</v>
      </c>
      <c r="L44" s="94">
        <v>1</v>
      </c>
      <c r="M44" s="94">
        <v>1</v>
      </c>
      <c r="N44" s="94">
        <v>1</v>
      </c>
    </row>
    <row r="45" spans="1:14" x14ac:dyDescent="0.2">
      <c r="B45" s="305" t="s">
        <v>41</v>
      </c>
      <c r="C45" s="175">
        <v>1</v>
      </c>
      <c r="D45" s="94">
        <v>1</v>
      </c>
      <c r="E45" s="94">
        <v>1</v>
      </c>
      <c r="F45" s="94">
        <v>1</v>
      </c>
      <c r="G45" s="94">
        <v>1</v>
      </c>
      <c r="H45" s="94">
        <v>1</v>
      </c>
      <c r="I45" s="94">
        <v>1</v>
      </c>
      <c r="J45" s="94">
        <v>1</v>
      </c>
      <c r="K45" s="94">
        <v>1</v>
      </c>
      <c r="L45" s="94">
        <v>1</v>
      </c>
      <c r="M45" s="94">
        <v>1</v>
      </c>
      <c r="N45" s="94">
        <v>1</v>
      </c>
    </row>
    <row r="46" spans="1:14" x14ac:dyDescent="0.2">
      <c r="B46" s="305" t="s">
        <v>42</v>
      </c>
      <c r="C46" s="175">
        <v>1</v>
      </c>
      <c r="D46" s="94">
        <v>1</v>
      </c>
      <c r="E46" s="94">
        <v>1</v>
      </c>
      <c r="F46" s="94">
        <v>1</v>
      </c>
      <c r="G46" s="94">
        <v>1</v>
      </c>
      <c r="H46" s="94">
        <v>1</v>
      </c>
      <c r="I46" s="94">
        <v>1</v>
      </c>
      <c r="J46" s="94">
        <v>1</v>
      </c>
      <c r="K46" s="94">
        <v>1</v>
      </c>
      <c r="L46" s="94">
        <v>1</v>
      </c>
      <c r="M46" s="94">
        <v>1</v>
      </c>
      <c r="N46" s="94">
        <v>1</v>
      </c>
    </row>
    <row r="47" spans="1:14" x14ac:dyDescent="0.2">
      <c r="B47" s="305" t="s">
        <v>43</v>
      </c>
      <c r="C47" s="175">
        <v>1</v>
      </c>
      <c r="D47" s="94">
        <v>1</v>
      </c>
      <c r="E47" s="94">
        <v>1</v>
      </c>
      <c r="F47" s="94">
        <v>1</v>
      </c>
      <c r="G47" s="94">
        <v>1</v>
      </c>
      <c r="H47" s="94">
        <v>1</v>
      </c>
      <c r="I47" s="94">
        <v>1</v>
      </c>
      <c r="J47" s="94">
        <v>1</v>
      </c>
      <c r="K47" s="94">
        <v>1</v>
      </c>
      <c r="L47" s="94">
        <v>1</v>
      </c>
      <c r="M47" s="94">
        <v>1</v>
      </c>
      <c r="N47" s="94">
        <v>1</v>
      </c>
    </row>
    <row r="48" spans="1:14" x14ac:dyDescent="0.2">
      <c r="B48" s="305" t="s">
        <v>22</v>
      </c>
      <c r="C48" s="175">
        <v>1</v>
      </c>
      <c r="D48" s="94">
        <v>1</v>
      </c>
      <c r="E48" s="94">
        <v>1</v>
      </c>
      <c r="F48" s="94">
        <v>1</v>
      </c>
      <c r="G48" s="94">
        <v>1</v>
      </c>
      <c r="H48" s="94">
        <v>1</v>
      </c>
      <c r="I48" s="94">
        <v>1</v>
      </c>
      <c r="J48" s="94">
        <v>1</v>
      </c>
      <c r="K48" s="94">
        <v>1</v>
      </c>
      <c r="L48" s="94">
        <v>1</v>
      </c>
      <c r="M48" s="94">
        <v>1</v>
      </c>
      <c r="N48" s="94">
        <v>1</v>
      </c>
    </row>
    <row r="49" spans="1:14" x14ac:dyDescent="0.2">
      <c r="B49" s="305" t="s">
        <v>44</v>
      </c>
      <c r="C49" s="175">
        <v>1</v>
      </c>
      <c r="D49" s="94">
        <v>1</v>
      </c>
      <c r="E49" s="94">
        <v>1</v>
      </c>
      <c r="F49" s="94">
        <v>1</v>
      </c>
      <c r="G49" s="94">
        <v>1</v>
      </c>
      <c r="H49" s="94">
        <v>1</v>
      </c>
      <c r="I49" s="94">
        <v>1</v>
      </c>
      <c r="J49" s="94">
        <v>1</v>
      </c>
      <c r="K49" s="94">
        <v>1</v>
      </c>
      <c r="L49" s="94">
        <v>1</v>
      </c>
      <c r="M49" s="94">
        <v>1</v>
      </c>
      <c r="N49" s="94">
        <v>1</v>
      </c>
    </row>
    <row r="50" spans="1:14" x14ac:dyDescent="0.2">
      <c r="B50" s="305" t="s">
        <v>45</v>
      </c>
      <c r="C50" s="175">
        <v>1</v>
      </c>
      <c r="D50" s="94">
        <v>1</v>
      </c>
      <c r="E50" s="94">
        <v>1</v>
      </c>
      <c r="F50" s="94">
        <v>1</v>
      </c>
      <c r="G50" s="94">
        <v>1</v>
      </c>
      <c r="H50" s="94">
        <v>1</v>
      </c>
      <c r="I50" s="94">
        <v>1</v>
      </c>
      <c r="J50" s="94">
        <v>1</v>
      </c>
      <c r="K50" s="94">
        <v>1</v>
      </c>
      <c r="L50" s="94">
        <v>1</v>
      </c>
      <c r="M50" s="94">
        <v>1</v>
      </c>
      <c r="N50" s="94">
        <v>1</v>
      </c>
    </row>
    <row r="51" spans="1:14" ht="14.25" customHeight="1" x14ac:dyDescent="0.2">
      <c r="C51" s="92"/>
      <c r="D51" s="94"/>
      <c r="E51" s="94"/>
      <c r="F51" s="94"/>
      <c r="G51" s="94"/>
      <c r="H51" s="94"/>
      <c r="I51" s="94"/>
      <c r="J51" s="94"/>
      <c r="K51" s="94"/>
      <c r="L51" s="94"/>
      <c r="M51" s="94"/>
      <c r="N51" s="94"/>
    </row>
    <row r="52" spans="1:14" x14ac:dyDescent="0.2">
      <c r="A52" s="305" t="s">
        <v>46</v>
      </c>
      <c r="C52" s="92">
        <f>+C65/C37</f>
        <v>0.99999999999999956</v>
      </c>
      <c r="D52" s="94">
        <v>1</v>
      </c>
      <c r="E52" s="94">
        <v>1</v>
      </c>
      <c r="F52" s="94">
        <v>1</v>
      </c>
      <c r="G52" s="94">
        <v>1</v>
      </c>
      <c r="H52" s="94">
        <v>1</v>
      </c>
      <c r="I52" s="94">
        <v>1</v>
      </c>
      <c r="J52" s="94">
        <v>1</v>
      </c>
      <c r="K52" s="94">
        <v>1</v>
      </c>
      <c r="L52" s="94">
        <v>1</v>
      </c>
      <c r="M52" s="94">
        <v>1</v>
      </c>
      <c r="N52" s="94">
        <v>1</v>
      </c>
    </row>
    <row r="53" spans="1:14" x14ac:dyDescent="0.2">
      <c r="L53" s="92"/>
      <c r="N53" s="94"/>
    </row>
    <row r="54" spans="1:14" x14ac:dyDescent="0.2">
      <c r="A54" s="327" t="s">
        <v>49</v>
      </c>
      <c r="L54" s="92"/>
      <c r="N54" s="94"/>
    </row>
    <row r="55" spans="1:14" x14ac:dyDescent="0.2">
      <c r="B55" s="305" t="s">
        <v>24</v>
      </c>
      <c r="C55" s="70">
        <f t="shared" ref="C55:N55" si="26">+C27*C41</f>
        <v>0.60840000000000005</v>
      </c>
      <c r="D55" s="70">
        <f t="shared" si="26"/>
        <v>0.66300000000000003</v>
      </c>
      <c r="E55" s="70">
        <f t="shared" si="26"/>
        <v>0.55379999999999996</v>
      </c>
      <c r="F55" s="70">
        <f t="shared" si="26"/>
        <v>0.62204999999999999</v>
      </c>
      <c r="G55" s="70">
        <f t="shared" si="26"/>
        <v>0.57330000000000003</v>
      </c>
      <c r="H55" s="70">
        <f t="shared" si="26"/>
        <v>0.60060000000000002</v>
      </c>
      <c r="I55" s="70">
        <f t="shared" si="26"/>
        <v>0.74685000000000001</v>
      </c>
      <c r="J55" s="70">
        <f t="shared" si="26"/>
        <v>0.66690000000000005</v>
      </c>
      <c r="K55" s="70">
        <f t="shared" si="26"/>
        <v>0.71760000000000002</v>
      </c>
      <c r="L55" s="70">
        <f t="shared" si="26"/>
        <v>0.59475</v>
      </c>
      <c r="M55" s="70">
        <f t="shared" si="26"/>
        <v>0.74880000000000002</v>
      </c>
      <c r="N55" s="70">
        <f t="shared" si="26"/>
        <v>0.67469999999999997</v>
      </c>
    </row>
    <row r="56" spans="1:14" x14ac:dyDescent="0.2">
      <c r="B56" s="305" t="s">
        <v>28</v>
      </c>
      <c r="C56" s="70">
        <f t="shared" ref="C56:N56" si="27">+C28*C42</f>
        <v>0.55598400000000003</v>
      </c>
      <c r="D56" s="70">
        <f t="shared" si="27"/>
        <v>0.60587999999999997</v>
      </c>
      <c r="E56" s="70">
        <f t="shared" si="27"/>
        <v>0.50608799999999998</v>
      </c>
      <c r="F56" s="70">
        <f t="shared" si="27"/>
        <v>0.56845800000000002</v>
      </c>
      <c r="G56" s="70">
        <f t="shared" si="27"/>
        <v>0.52390799999999993</v>
      </c>
      <c r="H56" s="70">
        <f t="shared" si="27"/>
        <v>0.54885600000000001</v>
      </c>
      <c r="I56" s="70">
        <f t="shared" si="27"/>
        <v>0.68250600000000006</v>
      </c>
      <c r="J56" s="70">
        <f t="shared" si="27"/>
        <v>0.60944399999999999</v>
      </c>
      <c r="K56" s="70">
        <f t="shared" si="27"/>
        <v>0.65577600000000003</v>
      </c>
      <c r="L56" s="70">
        <f t="shared" si="27"/>
        <v>0.54350999999999994</v>
      </c>
      <c r="M56" s="70">
        <f t="shared" si="27"/>
        <v>0.68428800000000001</v>
      </c>
      <c r="N56" s="70">
        <f t="shared" si="27"/>
        <v>0.61657200000000001</v>
      </c>
    </row>
    <row r="57" spans="1:14" x14ac:dyDescent="0.2">
      <c r="B57" s="305" t="s">
        <v>39</v>
      </c>
      <c r="C57" s="70">
        <f t="shared" ref="C57:N57" si="28">+C29*C43</f>
        <v>0</v>
      </c>
      <c r="D57" s="70">
        <f t="shared" si="28"/>
        <v>0</v>
      </c>
      <c r="E57" s="70">
        <f t="shared" si="28"/>
        <v>0</v>
      </c>
      <c r="F57" s="70">
        <f t="shared" si="28"/>
        <v>0</v>
      </c>
      <c r="G57" s="70">
        <f t="shared" si="28"/>
        <v>0</v>
      </c>
      <c r="H57" s="70">
        <f t="shared" si="28"/>
        <v>0</v>
      </c>
      <c r="I57" s="70">
        <f t="shared" si="28"/>
        <v>0</v>
      </c>
      <c r="J57" s="70">
        <f t="shared" si="28"/>
        <v>0</v>
      </c>
      <c r="K57" s="70">
        <f t="shared" si="28"/>
        <v>0</v>
      </c>
      <c r="L57" s="70">
        <f t="shared" si="28"/>
        <v>0</v>
      </c>
      <c r="M57" s="70">
        <f t="shared" si="28"/>
        <v>0</v>
      </c>
      <c r="N57" s="70">
        <f t="shared" si="28"/>
        <v>0</v>
      </c>
    </row>
    <row r="58" spans="1:14" x14ac:dyDescent="0.2">
      <c r="B58" s="305" t="s">
        <v>40</v>
      </c>
      <c r="C58" s="70">
        <f t="shared" ref="C58:N58" si="29">+C30*C44</f>
        <v>5.1480000000000005E-2</v>
      </c>
      <c r="D58" s="70">
        <f t="shared" si="29"/>
        <v>5.6100000000000004E-2</v>
      </c>
      <c r="E58" s="70">
        <f t="shared" si="29"/>
        <v>4.6859999999999999E-2</v>
      </c>
      <c r="F58" s="70">
        <f t="shared" si="29"/>
        <v>5.2635000000000001E-2</v>
      </c>
      <c r="G58" s="70">
        <f t="shared" si="29"/>
        <v>4.8510000000000005E-2</v>
      </c>
      <c r="H58" s="70">
        <f t="shared" si="29"/>
        <v>5.0820000000000004E-2</v>
      </c>
      <c r="I58" s="70">
        <f t="shared" si="29"/>
        <v>6.3195000000000001E-2</v>
      </c>
      <c r="J58" s="70">
        <f t="shared" si="29"/>
        <v>5.6430000000000001E-2</v>
      </c>
      <c r="K58" s="70">
        <f t="shared" si="29"/>
        <v>6.0720000000000003E-2</v>
      </c>
      <c r="L58" s="70">
        <f t="shared" si="29"/>
        <v>5.0325000000000002E-2</v>
      </c>
      <c r="M58" s="70">
        <f t="shared" si="29"/>
        <v>6.336E-2</v>
      </c>
      <c r="N58" s="70">
        <f t="shared" si="29"/>
        <v>5.7090000000000002E-2</v>
      </c>
    </row>
    <row r="59" spans="1:14" x14ac:dyDescent="0.2">
      <c r="B59" s="305" t="s">
        <v>41</v>
      </c>
      <c r="C59" s="70">
        <f t="shared" ref="C59:N59" si="30">+C31*C45</f>
        <v>0.14008800000000002</v>
      </c>
      <c r="D59" s="70">
        <f t="shared" si="30"/>
        <v>0.15266000000000002</v>
      </c>
      <c r="E59" s="70">
        <f t="shared" si="30"/>
        <v>0.12751599999999999</v>
      </c>
      <c r="F59" s="70">
        <f t="shared" si="30"/>
        <v>0.143231</v>
      </c>
      <c r="G59" s="70">
        <f t="shared" si="30"/>
        <v>0.13200600000000001</v>
      </c>
      <c r="H59" s="70">
        <f t="shared" si="30"/>
        <v>0.138292</v>
      </c>
      <c r="I59" s="70">
        <f t="shared" si="30"/>
        <v>0.17196700000000001</v>
      </c>
      <c r="J59" s="70">
        <f t="shared" si="30"/>
        <v>0.153558</v>
      </c>
      <c r="K59" s="70">
        <f t="shared" si="30"/>
        <v>0.16523200000000002</v>
      </c>
      <c r="L59" s="70">
        <f t="shared" si="30"/>
        <v>0.13694500000000001</v>
      </c>
      <c r="M59" s="70">
        <f t="shared" si="30"/>
        <v>0.17241600000000001</v>
      </c>
      <c r="N59" s="70">
        <f t="shared" si="30"/>
        <v>0.15535400000000002</v>
      </c>
    </row>
    <row r="60" spans="1:14" x14ac:dyDescent="0.2">
      <c r="B60" s="305" t="s">
        <v>42</v>
      </c>
      <c r="C60" s="95">
        <f t="shared" ref="C60:N60" si="31">+C32*C46</f>
        <v>2.3400000000000001E-2</v>
      </c>
      <c r="D60" s="95">
        <f t="shared" si="31"/>
        <v>2.5499999999999998E-2</v>
      </c>
      <c r="E60" s="95">
        <f t="shared" si="31"/>
        <v>2.1299999999999999E-2</v>
      </c>
      <c r="F60" s="95">
        <f t="shared" si="31"/>
        <v>2.3924999999999998E-2</v>
      </c>
      <c r="G60" s="95">
        <f t="shared" si="31"/>
        <v>2.205E-2</v>
      </c>
      <c r="H60" s="95">
        <f t="shared" si="31"/>
        <v>2.3099999999999999E-2</v>
      </c>
      <c r="I60" s="95">
        <f t="shared" si="31"/>
        <v>2.8725000000000001E-2</v>
      </c>
      <c r="J60" s="95">
        <f t="shared" si="31"/>
        <v>2.5649999999999999E-2</v>
      </c>
      <c r="K60" s="95">
        <f t="shared" si="31"/>
        <v>2.76E-2</v>
      </c>
      <c r="L60" s="95">
        <f t="shared" si="31"/>
        <v>2.2875E-2</v>
      </c>
      <c r="M60" s="95">
        <f t="shared" si="31"/>
        <v>2.8799999999999999E-2</v>
      </c>
      <c r="N60" s="95">
        <f t="shared" si="31"/>
        <v>2.5949999999999997E-2</v>
      </c>
    </row>
    <row r="61" spans="1:14" x14ac:dyDescent="0.2">
      <c r="B61" s="305" t="s">
        <v>43</v>
      </c>
      <c r="C61" s="70">
        <f t="shared" ref="C61:N61" si="32">+C33*C47</f>
        <v>0</v>
      </c>
      <c r="D61" s="70">
        <f t="shared" si="32"/>
        <v>0</v>
      </c>
      <c r="E61" s="70">
        <f t="shared" si="32"/>
        <v>0</v>
      </c>
      <c r="F61" s="70">
        <f t="shared" si="32"/>
        <v>0</v>
      </c>
      <c r="G61" s="70">
        <f t="shared" si="32"/>
        <v>0</v>
      </c>
      <c r="H61" s="70">
        <f t="shared" si="32"/>
        <v>0</v>
      </c>
      <c r="I61" s="70">
        <f t="shared" si="32"/>
        <v>0</v>
      </c>
      <c r="J61" s="70">
        <f t="shared" si="32"/>
        <v>0</v>
      </c>
      <c r="K61" s="70">
        <f t="shared" si="32"/>
        <v>0</v>
      </c>
      <c r="L61" s="70">
        <f t="shared" si="32"/>
        <v>0</v>
      </c>
      <c r="M61" s="70">
        <f t="shared" si="32"/>
        <v>0</v>
      </c>
      <c r="N61" s="70">
        <f t="shared" si="32"/>
        <v>0</v>
      </c>
    </row>
    <row r="62" spans="1:14" x14ac:dyDescent="0.2">
      <c r="B62" s="305" t="s">
        <v>36</v>
      </c>
      <c r="C62" s="70">
        <f t="shared" ref="C62:N62" si="33">+C34*C48</f>
        <v>0.55161600000000011</v>
      </c>
      <c r="D62" s="70">
        <f t="shared" si="33"/>
        <v>0.60111999999999999</v>
      </c>
      <c r="E62" s="70">
        <f t="shared" si="33"/>
        <v>0.502112</v>
      </c>
      <c r="F62" s="70">
        <f t="shared" si="33"/>
        <v>0.56399200000000005</v>
      </c>
      <c r="G62" s="70">
        <f t="shared" si="33"/>
        <v>0.51979200000000003</v>
      </c>
      <c r="H62" s="70">
        <f t="shared" si="33"/>
        <v>0.54454400000000003</v>
      </c>
      <c r="I62" s="70">
        <f t="shared" si="33"/>
        <v>0.67714400000000008</v>
      </c>
      <c r="J62" s="70">
        <f t="shared" si="33"/>
        <v>0.60465600000000008</v>
      </c>
      <c r="K62" s="70">
        <f t="shared" si="33"/>
        <v>0.65062400000000009</v>
      </c>
      <c r="L62" s="70">
        <f t="shared" si="33"/>
        <v>0.53924000000000005</v>
      </c>
      <c r="M62" s="70">
        <f t="shared" si="33"/>
        <v>0.67891200000000007</v>
      </c>
      <c r="N62" s="70">
        <f t="shared" si="33"/>
        <v>0.61172800000000005</v>
      </c>
    </row>
    <row r="63" spans="1:14" x14ac:dyDescent="0.2">
      <c r="B63" s="305" t="s">
        <v>44</v>
      </c>
      <c r="C63" s="70">
        <f t="shared" ref="C63:N63" si="34">+C35*C49</f>
        <v>0</v>
      </c>
      <c r="D63" s="70">
        <f t="shared" si="34"/>
        <v>0</v>
      </c>
      <c r="E63" s="70">
        <f t="shared" si="34"/>
        <v>0</v>
      </c>
      <c r="F63" s="70">
        <f t="shared" si="34"/>
        <v>0</v>
      </c>
      <c r="G63" s="70">
        <f t="shared" si="34"/>
        <v>0</v>
      </c>
      <c r="H63" s="70">
        <f t="shared" si="34"/>
        <v>0</v>
      </c>
      <c r="I63" s="70">
        <f t="shared" si="34"/>
        <v>0</v>
      </c>
      <c r="J63" s="70">
        <f t="shared" si="34"/>
        <v>0</v>
      </c>
      <c r="K63" s="70">
        <f t="shared" si="34"/>
        <v>0</v>
      </c>
      <c r="L63" s="70">
        <f t="shared" si="34"/>
        <v>0</v>
      </c>
      <c r="M63" s="70">
        <f t="shared" si="34"/>
        <v>0</v>
      </c>
      <c r="N63" s="70">
        <f t="shared" si="34"/>
        <v>0</v>
      </c>
    </row>
    <row r="64" spans="1:14" x14ac:dyDescent="0.2">
      <c r="B64" s="305" t="s">
        <v>45</v>
      </c>
      <c r="C64" s="70">
        <f t="shared" ref="C64:N64" si="35">+C36*C50</f>
        <v>0.1850160000000004</v>
      </c>
      <c r="D64" s="70">
        <f t="shared" si="35"/>
        <v>0.20162000000000044</v>
      </c>
      <c r="E64" s="70">
        <f t="shared" si="35"/>
        <v>0.16841200000000037</v>
      </c>
      <c r="F64" s="70">
        <f t="shared" si="35"/>
        <v>0.18916700000000042</v>
      </c>
      <c r="G64" s="70">
        <f t="shared" si="35"/>
        <v>0.17434200000000039</v>
      </c>
      <c r="H64" s="70">
        <f t="shared" si="35"/>
        <v>0.18264400000000042</v>
      </c>
      <c r="I64" s="70">
        <f t="shared" si="35"/>
        <v>0.22711900000000051</v>
      </c>
      <c r="J64" s="70">
        <f t="shared" si="35"/>
        <v>0.20280600000000043</v>
      </c>
      <c r="K64" s="70">
        <f t="shared" si="35"/>
        <v>0.2182240000000005</v>
      </c>
      <c r="L64" s="70">
        <f t="shared" si="35"/>
        <v>0.18086500000000039</v>
      </c>
      <c r="M64" s="70">
        <f t="shared" si="35"/>
        <v>0.2277120000000005</v>
      </c>
      <c r="N64" s="70">
        <f t="shared" si="35"/>
        <v>0.20517800000000044</v>
      </c>
    </row>
    <row r="65" spans="1:15" x14ac:dyDescent="0.2">
      <c r="B65" s="305" t="s">
        <v>46</v>
      </c>
      <c r="C65" s="87">
        <f t="shared" ref="C65:N65" si="36">+C7-SUM(C55:C64)</f>
        <v>1.0040159999999996</v>
      </c>
      <c r="D65" s="87">
        <f t="shared" si="36"/>
        <v>1.0941199999999993</v>
      </c>
      <c r="E65" s="87">
        <f t="shared" si="36"/>
        <v>0.91391199999999939</v>
      </c>
      <c r="F65" s="87">
        <f t="shared" si="36"/>
        <v>1.0265419999999996</v>
      </c>
      <c r="G65" s="87">
        <f t="shared" si="36"/>
        <v>0.94609199999999949</v>
      </c>
      <c r="H65" s="87">
        <f t="shared" si="36"/>
        <v>0.9911439999999998</v>
      </c>
      <c r="I65" s="87">
        <f t="shared" si="36"/>
        <v>1.2324939999999991</v>
      </c>
      <c r="J65" s="87">
        <f t="shared" si="36"/>
        <v>1.1005559999999996</v>
      </c>
      <c r="K65" s="87">
        <f t="shared" si="36"/>
        <v>1.1842239999999995</v>
      </c>
      <c r="L65" s="87">
        <f t="shared" si="36"/>
        <v>0.98148999999999953</v>
      </c>
      <c r="M65" s="87">
        <f t="shared" si="36"/>
        <v>1.2357119999999995</v>
      </c>
      <c r="N65" s="87">
        <f t="shared" si="36"/>
        <v>1.1134279999999994</v>
      </c>
    </row>
    <row r="66" spans="1:15" x14ac:dyDescent="0.2">
      <c r="C66" s="70">
        <f t="shared" ref="C66:N66" si="37">SUM(C55:C65)</f>
        <v>3.12</v>
      </c>
      <c r="D66" s="70">
        <f t="shared" si="37"/>
        <v>3.4</v>
      </c>
      <c r="E66" s="70">
        <f t="shared" si="37"/>
        <v>2.84</v>
      </c>
      <c r="F66" s="70">
        <f t="shared" si="37"/>
        <v>3.19</v>
      </c>
      <c r="G66" s="70">
        <f t="shared" si="37"/>
        <v>2.94</v>
      </c>
      <c r="H66" s="70">
        <f t="shared" si="37"/>
        <v>3.08</v>
      </c>
      <c r="I66" s="70">
        <f t="shared" si="37"/>
        <v>3.83</v>
      </c>
      <c r="J66" s="70">
        <f t="shared" si="37"/>
        <v>3.42</v>
      </c>
      <c r="K66" s="70">
        <f t="shared" si="37"/>
        <v>3.68</v>
      </c>
      <c r="L66" s="70">
        <f t="shared" si="37"/>
        <v>3.05</v>
      </c>
      <c r="M66" s="70">
        <f t="shared" si="37"/>
        <v>3.84</v>
      </c>
      <c r="N66" s="70">
        <f t="shared" si="37"/>
        <v>3.46</v>
      </c>
    </row>
    <row r="67" spans="1:15" ht="8.1" customHeight="1" x14ac:dyDescent="0.2"/>
    <row r="68" spans="1:15" x14ac:dyDescent="0.2">
      <c r="A68" s="338" t="s">
        <v>50</v>
      </c>
      <c r="C68" s="305">
        <v>1.1000000000000001</v>
      </c>
      <c r="E68" s="305" t="s">
        <v>96</v>
      </c>
    </row>
    <row r="69" spans="1:15" x14ac:dyDescent="0.2">
      <c r="B69" s="305" t="s">
        <v>24</v>
      </c>
      <c r="C69" s="97">
        <v>72.25</v>
      </c>
      <c r="D69" s="97">
        <v>75.63</v>
      </c>
      <c r="E69" s="97">
        <v>83.6</v>
      </c>
      <c r="F69" s="97">
        <v>93.37</v>
      </c>
      <c r="G69" s="141">
        <v>90.66</v>
      </c>
      <c r="H69" s="141">
        <v>88.47</v>
      </c>
      <c r="I69" s="97">
        <v>91.42</v>
      </c>
      <c r="J69" s="97">
        <v>90.152999999999992</v>
      </c>
      <c r="K69" s="97">
        <v>94.086999999999989</v>
      </c>
      <c r="L69" s="97">
        <v>111.29300000000001</v>
      </c>
      <c r="M69" s="97">
        <v>106.428</v>
      </c>
      <c r="N69" s="97">
        <v>61.02</v>
      </c>
    </row>
    <row r="70" spans="1:15" x14ac:dyDescent="0.2">
      <c r="B70" s="305" t="s">
        <v>28</v>
      </c>
      <c r="C70" s="97">
        <v>87.8</v>
      </c>
      <c r="D70" s="97">
        <v>90.36</v>
      </c>
      <c r="E70" s="97">
        <v>101.52</v>
      </c>
      <c r="F70" s="97">
        <v>110.76</v>
      </c>
      <c r="G70" s="141">
        <v>99.86</v>
      </c>
      <c r="H70" s="141">
        <v>103.64</v>
      </c>
      <c r="I70" s="97">
        <v>110.66</v>
      </c>
      <c r="J70" s="97">
        <v>112.602</v>
      </c>
      <c r="K70" s="97">
        <v>119.57399999999998</v>
      </c>
      <c r="L70" s="97">
        <v>141.428</v>
      </c>
      <c r="M70" s="97">
        <v>156.905</v>
      </c>
      <c r="N70" s="97">
        <v>118.99</v>
      </c>
    </row>
    <row r="71" spans="1:15" x14ac:dyDescent="0.2">
      <c r="B71" s="305" t="s">
        <v>39</v>
      </c>
      <c r="C71" s="97">
        <v>0</v>
      </c>
      <c r="D71" s="97"/>
      <c r="E71" s="97"/>
      <c r="F71" s="97"/>
      <c r="G71" s="141"/>
      <c r="H71" s="141"/>
      <c r="I71" s="97"/>
      <c r="J71" s="97"/>
      <c r="K71" s="97"/>
      <c r="L71" s="97"/>
      <c r="M71" s="97"/>
      <c r="N71" s="97"/>
    </row>
    <row r="72" spans="1:15" x14ac:dyDescent="0.2">
      <c r="B72" s="305" t="s">
        <v>40</v>
      </c>
      <c r="C72" s="97">
        <v>73.930000000000007</v>
      </c>
      <c r="D72" s="97">
        <v>64.900000000000006</v>
      </c>
      <c r="E72" s="97">
        <v>58.33</v>
      </c>
      <c r="F72" s="97">
        <v>59.25</v>
      </c>
      <c r="G72" s="141">
        <v>59.29</v>
      </c>
      <c r="H72" s="141">
        <v>52.472000000000001</v>
      </c>
      <c r="I72" s="97">
        <v>66.003</v>
      </c>
      <c r="J72" s="97">
        <v>67.542999999999992</v>
      </c>
      <c r="K72" s="97">
        <v>82.466999999999999</v>
      </c>
      <c r="L72" s="97">
        <v>73.513999999999996</v>
      </c>
      <c r="M72" s="97">
        <v>89.299000000000007</v>
      </c>
      <c r="N72" s="97">
        <v>77.78</v>
      </c>
    </row>
    <row r="73" spans="1:15" x14ac:dyDescent="0.2">
      <c r="B73" s="305" t="s">
        <v>41</v>
      </c>
      <c r="C73" s="97">
        <v>133.80000000000001</v>
      </c>
      <c r="D73" s="97">
        <v>129.44999999999999</v>
      </c>
      <c r="E73" s="97">
        <v>134.41</v>
      </c>
      <c r="F73" s="97">
        <v>130.41999999999999</v>
      </c>
      <c r="G73" s="141">
        <v>110.89</v>
      </c>
      <c r="H73" s="141">
        <v>100.65</v>
      </c>
      <c r="I73" s="97">
        <v>107.11</v>
      </c>
      <c r="J73" s="97">
        <v>99.483999999999995</v>
      </c>
      <c r="K73" s="97">
        <v>111.96499999999999</v>
      </c>
      <c r="L73" s="97">
        <v>125.03399999999999</v>
      </c>
      <c r="M73" s="97">
        <v>108.983</v>
      </c>
      <c r="N73" s="97">
        <v>100.86</v>
      </c>
    </row>
    <row r="74" spans="1:15" x14ac:dyDescent="0.2">
      <c r="B74" s="305" t="s">
        <v>42</v>
      </c>
      <c r="C74" s="97">
        <v>798</v>
      </c>
      <c r="D74" s="97">
        <v>778.7</v>
      </c>
      <c r="E74" s="97">
        <v>777</v>
      </c>
      <c r="F74" s="97">
        <v>798</v>
      </c>
      <c r="G74" s="141">
        <v>784</v>
      </c>
      <c r="H74" s="141">
        <v>812</v>
      </c>
      <c r="I74" s="97">
        <v>836.49</v>
      </c>
      <c r="J74" s="97">
        <v>863.56899999999996</v>
      </c>
      <c r="K74" s="97">
        <v>886.43799999999987</v>
      </c>
      <c r="L74" s="97">
        <v>939.42799999999988</v>
      </c>
      <c r="M74" s="97">
        <v>960.31600000000003</v>
      </c>
      <c r="N74" s="97">
        <v>947.87</v>
      </c>
    </row>
    <row r="75" spans="1:15" x14ac:dyDescent="0.2">
      <c r="B75" s="305" t="s">
        <v>43</v>
      </c>
      <c r="C75" s="97">
        <v>0</v>
      </c>
      <c r="D75" s="97"/>
      <c r="E75" s="97"/>
      <c r="F75" s="97"/>
      <c r="G75" s="141"/>
      <c r="H75" s="141"/>
      <c r="I75" s="97"/>
      <c r="J75" s="97"/>
      <c r="K75" s="97"/>
      <c r="L75" s="97"/>
      <c r="M75" s="97"/>
      <c r="N75" s="97"/>
    </row>
    <row r="76" spans="1:15" x14ac:dyDescent="0.2">
      <c r="B76" s="305" t="s">
        <v>36</v>
      </c>
      <c r="C76" s="97">
        <v>-2.2000000000000002</v>
      </c>
      <c r="D76" s="97">
        <v>-7.81</v>
      </c>
      <c r="E76" s="97">
        <v>-8.0299999999999994</v>
      </c>
      <c r="F76" s="97">
        <v>-1.52</v>
      </c>
      <c r="G76" s="141">
        <v>-5.91</v>
      </c>
      <c r="H76" s="141">
        <v>-6.71</v>
      </c>
      <c r="I76" s="97">
        <v>-16.34</v>
      </c>
      <c r="J76" s="97">
        <v>-19.71</v>
      </c>
      <c r="K76" s="97">
        <v>-11</v>
      </c>
      <c r="L76" s="97">
        <v>-10.55</v>
      </c>
      <c r="M76" s="97">
        <v>-10.44</v>
      </c>
      <c r="N76" s="97">
        <v>-10.45</v>
      </c>
    </row>
    <row r="77" spans="1:15" x14ac:dyDescent="0.2">
      <c r="B77" s="305" t="s">
        <v>44</v>
      </c>
      <c r="C77" s="97">
        <v>-120.17</v>
      </c>
      <c r="D77" s="97">
        <v>-120.17</v>
      </c>
      <c r="E77" s="97">
        <v>-120.17</v>
      </c>
      <c r="F77" s="97">
        <v>-120.17</v>
      </c>
      <c r="G77" s="141">
        <v>-120.17</v>
      </c>
      <c r="H77" s="141">
        <v>-120.17</v>
      </c>
      <c r="I77" s="97">
        <v>-120.17</v>
      </c>
      <c r="J77" s="97">
        <v>-120.17</v>
      </c>
      <c r="K77" s="97">
        <v>-120.17</v>
      </c>
      <c r="L77" s="97">
        <v>-120.17</v>
      </c>
      <c r="M77" s="97">
        <v>-134.59</v>
      </c>
      <c r="N77" s="97">
        <v>-134.59</v>
      </c>
    </row>
    <row r="78" spans="1:15" x14ac:dyDescent="0.2">
      <c r="B78" s="305" t="s">
        <v>45</v>
      </c>
      <c r="C78" s="97">
        <v>-120.17</v>
      </c>
      <c r="D78" s="97">
        <v>-120.17</v>
      </c>
      <c r="E78" s="97">
        <v>-120.17</v>
      </c>
      <c r="F78" s="97">
        <v>-120.17</v>
      </c>
      <c r="G78" s="141">
        <v>-120.17</v>
      </c>
      <c r="H78" s="141">
        <v>-120.17</v>
      </c>
      <c r="I78" s="97">
        <v>-120.17</v>
      </c>
      <c r="J78" s="97">
        <v>-120.17</v>
      </c>
      <c r="K78" s="97">
        <v>-120.17</v>
      </c>
      <c r="L78" s="97">
        <v>-120.17</v>
      </c>
      <c r="M78" s="97">
        <v>-134.59</v>
      </c>
      <c r="N78" s="97">
        <v>-134.59</v>
      </c>
    </row>
    <row r="79" spans="1:15" x14ac:dyDescent="0.2">
      <c r="B79" s="305" t="s">
        <v>46</v>
      </c>
      <c r="C79" s="97">
        <v>69.38</v>
      </c>
      <c r="D79" s="97">
        <v>71.97</v>
      </c>
      <c r="E79" s="97">
        <v>78.17</v>
      </c>
      <c r="F79" s="97">
        <v>87.47</v>
      </c>
      <c r="G79" s="141">
        <v>77.81</v>
      </c>
      <c r="H79" s="141">
        <v>76.42</v>
      </c>
      <c r="I79" s="97">
        <v>81.59</v>
      </c>
      <c r="J79" s="97">
        <v>85.945999999999998</v>
      </c>
      <c r="K79" s="97">
        <v>80.394999999999996</v>
      </c>
      <c r="L79" s="97">
        <v>103.03299999999999</v>
      </c>
      <c r="M79" s="97">
        <v>102.494</v>
      </c>
      <c r="N79" s="97">
        <v>54.15</v>
      </c>
      <c r="O79" s="330">
        <f>SUM(C69:N79)</f>
        <v>12728.522999999996</v>
      </c>
    </row>
    <row r="80" spans="1:15" ht="8.1" customHeight="1" x14ac:dyDescent="0.2"/>
    <row r="81" spans="1:16" x14ac:dyDescent="0.2">
      <c r="A81" s="327" t="s">
        <v>51</v>
      </c>
    </row>
    <row r="82" spans="1:16" x14ac:dyDescent="0.2">
      <c r="B82" s="305" t="s">
        <v>24</v>
      </c>
      <c r="C82" s="73">
        <f t="shared" ref="C82:N82" si="38">+C69*C55</f>
        <v>43.956900000000005</v>
      </c>
      <c r="D82" s="70">
        <f t="shared" si="38"/>
        <v>50.142690000000002</v>
      </c>
      <c r="E82" s="70">
        <f t="shared" si="38"/>
        <v>46.297679999999993</v>
      </c>
      <c r="F82" s="70">
        <f t="shared" si="38"/>
        <v>58.080808500000003</v>
      </c>
      <c r="G82" s="70">
        <f t="shared" si="38"/>
        <v>51.975377999999999</v>
      </c>
      <c r="H82" s="70">
        <f t="shared" si="38"/>
        <v>53.135082000000004</v>
      </c>
      <c r="I82" s="70">
        <f t="shared" si="38"/>
        <v>68.277027000000004</v>
      </c>
      <c r="J82" s="70">
        <f t="shared" si="38"/>
        <v>60.123035699999996</v>
      </c>
      <c r="K82" s="70">
        <f t="shared" si="38"/>
        <v>67.516831199999999</v>
      </c>
      <c r="L82" s="70">
        <f t="shared" si="38"/>
        <v>66.191511750000004</v>
      </c>
      <c r="M82" s="70">
        <f t="shared" si="38"/>
        <v>79.693286400000005</v>
      </c>
      <c r="N82" s="70">
        <f t="shared" si="38"/>
        <v>41.170194000000002</v>
      </c>
      <c r="O82" s="330">
        <f t="shared" ref="O82:O93" si="39">SUM(C82:N82)</f>
        <v>686.56042455000011</v>
      </c>
    </row>
    <row r="83" spans="1:16" x14ac:dyDescent="0.2">
      <c r="B83" s="305" t="s">
        <v>28</v>
      </c>
      <c r="C83" s="73">
        <f t="shared" ref="C83:N83" si="40">+C70*C56</f>
        <v>48.815395200000005</v>
      </c>
      <c r="D83" s="70">
        <f t="shared" si="40"/>
        <v>54.7473168</v>
      </c>
      <c r="E83" s="70">
        <f t="shared" si="40"/>
        <v>51.378053759999993</v>
      </c>
      <c r="F83" s="70">
        <f t="shared" si="40"/>
        <v>62.962408080000003</v>
      </c>
      <c r="G83" s="70">
        <f t="shared" si="40"/>
        <v>52.317452879999991</v>
      </c>
      <c r="H83" s="70">
        <f t="shared" si="40"/>
        <v>56.883435840000004</v>
      </c>
      <c r="I83" s="70">
        <f t="shared" si="40"/>
        <v>75.526113960000004</v>
      </c>
      <c r="J83" s="70">
        <f t="shared" si="40"/>
        <v>68.624613288000006</v>
      </c>
      <c r="K83" s="70">
        <f t="shared" si="40"/>
        <v>78.413759423999991</v>
      </c>
      <c r="L83" s="70">
        <f t="shared" si="40"/>
        <v>76.867532279999992</v>
      </c>
      <c r="M83" s="70">
        <f t="shared" si="40"/>
        <v>107.36820864000001</v>
      </c>
      <c r="N83" s="70">
        <f t="shared" si="40"/>
        <v>73.36590228</v>
      </c>
      <c r="O83" s="330">
        <f t="shared" si="39"/>
        <v>807.27019243200004</v>
      </c>
    </row>
    <row r="84" spans="1:16" x14ac:dyDescent="0.2">
      <c r="B84" s="305" t="s">
        <v>39</v>
      </c>
      <c r="C84" s="73">
        <f t="shared" ref="C84:H92" si="41">+C71*C57</f>
        <v>0</v>
      </c>
      <c r="D84" s="70">
        <f t="shared" si="41"/>
        <v>0</v>
      </c>
      <c r="E84" s="70">
        <f t="shared" si="41"/>
        <v>0</v>
      </c>
      <c r="F84" s="70">
        <f t="shared" si="41"/>
        <v>0</v>
      </c>
      <c r="G84" s="70">
        <f t="shared" si="41"/>
        <v>0</v>
      </c>
      <c r="H84" s="70">
        <f t="shared" si="41"/>
        <v>0</v>
      </c>
      <c r="I84" s="70"/>
      <c r="J84" s="70">
        <f t="shared" ref="J84:N92" si="42">+J71*J57</f>
        <v>0</v>
      </c>
      <c r="K84" s="70">
        <f t="shared" si="42"/>
        <v>0</v>
      </c>
      <c r="L84" s="70">
        <f t="shared" si="42"/>
        <v>0</v>
      </c>
      <c r="M84" s="70">
        <f t="shared" si="42"/>
        <v>0</v>
      </c>
      <c r="N84" s="70">
        <f t="shared" si="42"/>
        <v>0</v>
      </c>
      <c r="O84" s="330">
        <f t="shared" si="39"/>
        <v>0</v>
      </c>
    </row>
    <row r="85" spans="1:16" x14ac:dyDescent="0.2">
      <c r="B85" s="305" t="s">
        <v>40</v>
      </c>
      <c r="C85" s="73">
        <f t="shared" si="41"/>
        <v>3.8059164000000005</v>
      </c>
      <c r="D85" s="70">
        <f t="shared" si="41"/>
        <v>3.6408900000000006</v>
      </c>
      <c r="E85" s="70">
        <f t="shared" si="41"/>
        <v>2.7333437999999997</v>
      </c>
      <c r="F85" s="70">
        <f t="shared" si="41"/>
        <v>3.1186237500000002</v>
      </c>
      <c r="G85" s="70">
        <f t="shared" si="41"/>
        <v>2.8761579000000004</v>
      </c>
      <c r="H85" s="70">
        <f t="shared" si="41"/>
        <v>2.6666270400000003</v>
      </c>
      <c r="I85" s="70">
        <f>+I72*I58</f>
        <v>4.1710595850000001</v>
      </c>
      <c r="J85" s="70">
        <f t="shared" si="42"/>
        <v>3.8114514899999996</v>
      </c>
      <c r="K85" s="70">
        <f t="shared" si="42"/>
        <v>5.0073962400000003</v>
      </c>
      <c r="L85" s="70">
        <f t="shared" si="42"/>
        <v>3.6995920500000001</v>
      </c>
      <c r="M85" s="70">
        <f t="shared" si="42"/>
        <v>5.6579846400000005</v>
      </c>
      <c r="N85" s="70">
        <f t="shared" si="42"/>
        <v>4.4404602000000004</v>
      </c>
      <c r="O85" s="330">
        <f t="shared" si="39"/>
        <v>45.629503095000004</v>
      </c>
    </row>
    <row r="86" spans="1:16" x14ac:dyDescent="0.2">
      <c r="B86" s="305" t="s">
        <v>41</v>
      </c>
      <c r="C86" s="73">
        <f t="shared" si="41"/>
        <v>18.743774400000003</v>
      </c>
      <c r="D86" s="70">
        <f t="shared" si="41"/>
        <v>19.761837</v>
      </c>
      <c r="E86" s="70">
        <f t="shared" si="41"/>
        <v>17.139425559999999</v>
      </c>
      <c r="F86" s="70">
        <f t="shared" si="41"/>
        <v>18.680187019999998</v>
      </c>
      <c r="G86" s="70">
        <f t="shared" si="41"/>
        <v>14.638145340000001</v>
      </c>
      <c r="H86" s="70">
        <f t="shared" si="41"/>
        <v>13.9190898</v>
      </c>
      <c r="I86" s="70">
        <f>+I73*I59</f>
        <v>18.419385370000001</v>
      </c>
      <c r="J86" s="70">
        <f t="shared" si="42"/>
        <v>15.276564071999999</v>
      </c>
      <c r="K86" s="70">
        <f t="shared" si="42"/>
        <v>18.500200880000001</v>
      </c>
      <c r="L86" s="70">
        <f t="shared" si="42"/>
        <v>17.12278113</v>
      </c>
      <c r="M86" s="70">
        <f t="shared" si="42"/>
        <v>18.790412928000002</v>
      </c>
      <c r="N86" s="70">
        <f t="shared" si="42"/>
        <v>15.669004440000002</v>
      </c>
      <c r="O86" s="330">
        <f t="shared" si="39"/>
        <v>206.66080793999998</v>
      </c>
    </row>
    <row r="87" spans="1:16" x14ac:dyDescent="0.2">
      <c r="B87" s="305" t="s">
        <v>42</v>
      </c>
      <c r="C87" s="73">
        <f t="shared" si="41"/>
        <v>18.673200000000001</v>
      </c>
      <c r="D87" s="70">
        <f t="shared" si="41"/>
        <v>19.856850000000001</v>
      </c>
      <c r="E87" s="70">
        <f t="shared" si="41"/>
        <v>16.5501</v>
      </c>
      <c r="F87" s="70">
        <f t="shared" si="41"/>
        <v>19.09215</v>
      </c>
      <c r="G87" s="70">
        <f t="shared" si="41"/>
        <v>17.287199999999999</v>
      </c>
      <c r="H87" s="70">
        <f t="shared" si="41"/>
        <v>18.757199999999997</v>
      </c>
      <c r="I87" s="70">
        <f>+I74*I60</f>
        <v>24.02817525</v>
      </c>
      <c r="J87" s="70">
        <f t="shared" si="42"/>
        <v>22.150544849999999</v>
      </c>
      <c r="K87" s="70">
        <f t="shared" si="42"/>
        <v>24.465688799999995</v>
      </c>
      <c r="L87" s="70">
        <f t="shared" si="42"/>
        <v>21.489415499999996</v>
      </c>
      <c r="M87" s="70">
        <f t="shared" si="42"/>
        <v>27.657100799999998</v>
      </c>
      <c r="N87" s="70">
        <f t="shared" si="42"/>
        <v>24.597226499999998</v>
      </c>
      <c r="O87" s="330">
        <f t="shared" si="39"/>
        <v>254.60485169999998</v>
      </c>
    </row>
    <row r="88" spans="1:16" x14ac:dyDescent="0.2">
      <c r="B88" s="305" t="s">
        <v>43</v>
      </c>
      <c r="C88" s="73">
        <f t="shared" si="41"/>
        <v>0</v>
      </c>
      <c r="D88" s="70">
        <f t="shared" si="41"/>
        <v>0</v>
      </c>
      <c r="E88" s="70">
        <f t="shared" si="41"/>
        <v>0</v>
      </c>
      <c r="F88" s="70">
        <f t="shared" si="41"/>
        <v>0</v>
      </c>
      <c r="G88" s="70">
        <f t="shared" si="41"/>
        <v>0</v>
      </c>
      <c r="H88" s="70">
        <f t="shared" si="41"/>
        <v>0</v>
      </c>
      <c r="I88" s="70"/>
      <c r="J88" s="70">
        <f t="shared" si="42"/>
        <v>0</v>
      </c>
      <c r="K88" s="70">
        <f t="shared" si="42"/>
        <v>0</v>
      </c>
      <c r="L88" s="70">
        <f t="shared" si="42"/>
        <v>0</v>
      </c>
      <c r="M88" s="70">
        <f t="shared" si="42"/>
        <v>0</v>
      </c>
      <c r="N88" s="70">
        <f t="shared" si="42"/>
        <v>0</v>
      </c>
      <c r="O88" s="330">
        <f t="shared" si="39"/>
        <v>0</v>
      </c>
    </row>
    <row r="89" spans="1:16" x14ac:dyDescent="0.2">
      <c r="B89" s="305" t="s">
        <v>36</v>
      </c>
      <c r="C89" s="73">
        <f t="shared" si="41"/>
        <v>-1.2135552000000003</v>
      </c>
      <c r="D89" s="70">
        <f t="shared" si="41"/>
        <v>-4.6947471999999992</v>
      </c>
      <c r="E89" s="70">
        <f t="shared" si="41"/>
        <v>-4.0319593600000001</v>
      </c>
      <c r="F89" s="70">
        <f t="shared" si="41"/>
        <v>-0.85726784000000011</v>
      </c>
      <c r="G89" s="70">
        <f t="shared" si="41"/>
        <v>-3.0719707200000004</v>
      </c>
      <c r="H89" s="70">
        <f t="shared" si="41"/>
        <v>-3.65389024</v>
      </c>
      <c r="I89" s="70">
        <f>+I76*I62</f>
        <v>-11.064532960000001</v>
      </c>
      <c r="J89" s="70">
        <f t="shared" si="42"/>
        <v>-11.917769760000002</v>
      </c>
      <c r="K89" s="70">
        <f t="shared" si="42"/>
        <v>-7.1568640000000006</v>
      </c>
      <c r="L89" s="70">
        <f t="shared" si="42"/>
        <v>-5.6889820000000011</v>
      </c>
      <c r="M89" s="70">
        <f t="shared" si="42"/>
        <v>-7.0878412800000001</v>
      </c>
      <c r="N89" s="70">
        <f t="shared" si="42"/>
        <v>-6.3925576</v>
      </c>
      <c r="O89" s="330">
        <f t="shared" si="39"/>
        <v>-66.831938160000007</v>
      </c>
    </row>
    <row r="90" spans="1:16" x14ac:dyDescent="0.2">
      <c r="B90" s="305" t="s">
        <v>44</v>
      </c>
      <c r="C90" s="73">
        <f t="shared" si="41"/>
        <v>0</v>
      </c>
      <c r="D90" s="70">
        <f t="shared" si="41"/>
        <v>0</v>
      </c>
      <c r="E90" s="70">
        <f t="shared" si="41"/>
        <v>0</v>
      </c>
      <c r="F90" s="70">
        <f t="shared" si="41"/>
        <v>0</v>
      </c>
      <c r="G90" s="70">
        <f t="shared" si="41"/>
        <v>0</v>
      </c>
      <c r="H90" s="70">
        <f t="shared" si="41"/>
        <v>0</v>
      </c>
      <c r="I90" s="70">
        <f>+I77*I63</f>
        <v>0</v>
      </c>
      <c r="J90" s="70">
        <f t="shared" si="42"/>
        <v>0</v>
      </c>
      <c r="K90" s="70">
        <f t="shared" si="42"/>
        <v>0</v>
      </c>
      <c r="L90" s="70">
        <f t="shared" si="42"/>
        <v>0</v>
      </c>
      <c r="M90" s="70">
        <f t="shared" si="42"/>
        <v>0</v>
      </c>
      <c r="N90" s="70">
        <f t="shared" si="42"/>
        <v>0</v>
      </c>
      <c r="O90" s="330">
        <f t="shared" si="39"/>
        <v>0</v>
      </c>
    </row>
    <row r="91" spans="1:16" x14ac:dyDescent="0.2">
      <c r="B91" s="305" t="s">
        <v>45</v>
      </c>
      <c r="C91" s="73">
        <f t="shared" si="41"/>
        <v>-22.233372720000048</v>
      </c>
      <c r="D91" s="70">
        <f t="shared" si="41"/>
        <v>-24.228675400000053</v>
      </c>
      <c r="E91" s="70">
        <f t="shared" si="41"/>
        <v>-20.238070040000043</v>
      </c>
      <c r="F91" s="70">
        <f t="shared" si="41"/>
        <v>-22.73219839000005</v>
      </c>
      <c r="G91" s="70">
        <f t="shared" si="41"/>
        <v>-20.950678140000047</v>
      </c>
      <c r="H91" s="70">
        <f t="shared" si="41"/>
        <v>-21.948329480000051</v>
      </c>
      <c r="I91" s="70">
        <f>+I78*I64</f>
        <v>-27.292890230000062</v>
      </c>
      <c r="J91" s="70">
        <f t="shared" si="42"/>
        <v>-24.371197020000054</v>
      </c>
      <c r="K91" s="70">
        <f t="shared" si="42"/>
        <v>-26.223978080000059</v>
      </c>
      <c r="L91" s="70">
        <f t="shared" si="42"/>
        <v>-21.734547050000046</v>
      </c>
      <c r="M91" s="70">
        <f t="shared" si="42"/>
        <v>-30.647758080000067</v>
      </c>
      <c r="N91" s="70">
        <f t="shared" si="42"/>
        <v>-27.614907020000061</v>
      </c>
      <c r="O91" s="330">
        <f t="shared" si="39"/>
        <v>-290.21660165000071</v>
      </c>
    </row>
    <row r="92" spans="1:16" x14ac:dyDescent="0.2">
      <c r="B92" s="305" t="s">
        <v>46</v>
      </c>
      <c r="C92" s="98">
        <f t="shared" si="41"/>
        <v>69.658630079999966</v>
      </c>
      <c r="D92" s="87">
        <f t="shared" si="41"/>
        <v>78.743816399999943</v>
      </c>
      <c r="E92" s="87">
        <f t="shared" si="41"/>
        <v>71.440501039999958</v>
      </c>
      <c r="F92" s="87">
        <f t="shared" si="41"/>
        <v>89.791628739999965</v>
      </c>
      <c r="G92" s="87">
        <f t="shared" si="41"/>
        <v>73.615418519999963</v>
      </c>
      <c r="H92" s="87">
        <f t="shared" si="41"/>
        <v>75.743224479999981</v>
      </c>
      <c r="I92" s="87">
        <f>+I79*I65</f>
        <v>100.55918545999992</v>
      </c>
      <c r="J92" s="87">
        <f t="shared" si="42"/>
        <v>94.588385975999969</v>
      </c>
      <c r="K92" s="70">
        <f t="shared" si="42"/>
        <v>95.205688479999949</v>
      </c>
      <c r="L92" s="70">
        <f t="shared" si="42"/>
        <v>101.12585916999994</v>
      </c>
      <c r="M92" s="70">
        <f t="shared" si="42"/>
        <v>126.65306572799994</v>
      </c>
      <c r="N92" s="70">
        <f t="shared" si="42"/>
        <v>60.29212619999997</v>
      </c>
      <c r="O92" s="330">
        <f t="shared" si="39"/>
        <v>1037.4175302739993</v>
      </c>
    </row>
    <row r="93" spans="1:16" x14ac:dyDescent="0.2">
      <c r="A93" s="327" t="s">
        <v>52</v>
      </c>
      <c r="B93" s="327"/>
      <c r="C93" s="177">
        <f t="shared" ref="C93:N93" si="43">SUM(C82:C92)</f>
        <v>180.20688815999995</v>
      </c>
      <c r="D93" s="178">
        <f t="shared" si="43"/>
        <v>197.96997759999991</v>
      </c>
      <c r="E93" s="178">
        <f t="shared" si="43"/>
        <v>181.26907475999991</v>
      </c>
      <c r="F93" s="178">
        <f t="shared" si="43"/>
        <v>228.13633985999991</v>
      </c>
      <c r="G93" s="178">
        <f t="shared" si="43"/>
        <v>188.68710377999992</v>
      </c>
      <c r="H93" s="178">
        <f t="shared" si="43"/>
        <v>195.50243943999993</v>
      </c>
      <c r="I93" s="178">
        <f t="shared" si="43"/>
        <v>252.62352343499987</v>
      </c>
      <c r="J93" s="178">
        <f t="shared" si="43"/>
        <v>228.28562859599992</v>
      </c>
      <c r="K93" s="179">
        <f t="shared" si="43"/>
        <v>255.72872294399986</v>
      </c>
      <c r="L93" s="179">
        <f t="shared" si="43"/>
        <v>259.07316282999989</v>
      </c>
      <c r="M93" s="179">
        <f t="shared" si="43"/>
        <v>328.0844597759999</v>
      </c>
      <c r="N93" s="179">
        <f t="shared" si="43"/>
        <v>185.52744899999993</v>
      </c>
      <c r="O93" s="330">
        <f t="shared" si="39"/>
        <v>2681.0947701809991</v>
      </c>
      <c r="P93" s="330">
        <f>O93/2</f>
        <v>1340.5473850904996</v>
      </c>
    </row>
    <row r="94" spans="1:16" x14ac:dyDescent="0.2">
      <c r="A94" s="327" t="s">
        <v>53</v>
      </c>
      <c r="B94" s="327"/>
      <c r="C94" s="177">
        <f t="shared" ref="C94:N94" si="44">+C93/C66</f>
        <v>57.758617999999984</v>
      </c>
      <c r="D94" s="178">
        <f t="shared" si="44"/>
        <v>58.226463999999972</v>
      </c>
      <c r="E94" s="178">
        <f t="shared" si="44"/>
        <v>63.827138999999974</v>
      </c>
      <c r="F94" s="178">
        <f t="shared" si="44"/>
        <v>71.516093999999967</v>
      </c>
      <c r="G94" s="178">
        <f t="shared" si="44"/>
        <v>64.179286999999974</v>
      </c>
      <c r="H94" s="178">
        <f t="shared" si="44"/>
        <v>63.474817999999978</v>
      </c>
      <c r="I94" s="178">
        <f t="shared" si="44"/>
        <v>65.959144499999965</v>
      </c>
      <c r="J94" s="178">
        <f t="shared" si="44"/>
        <v>66.750183799999974</v>
      </c>
      <c r="K94" s="180">
        <f t="shared" si="44"/>
        <v>69.491500799999955</v>
      </c>
      <c r="L94" s="180">
        <f t="shared" si="44"/>
        <v>84.942020599999964</v>
      </c>
      <c r="M94" s="180">
        <f t="shared" si="44"/>
        <v>85.438661399999972</v>
      </c>
      <c r="N94" s="180">
        <f t="shared" si="44"/>
        <v>53.620649999999983</v>
      </c>
      <c r="O94" s="330"/>
    </row>
    <row r="95" spans="1:16" ht="8.1" customHeight="1" x14ac:dyDescent="0.2"/>
    <row r="96" spans="1:16" x14ac:dyDescent="0.2">
      <c r="A96" s="327"/>
      <c r="C96" s="330">
        <f t="shared" ref="C96:N96" si="45">C94*0.7</f>
        <v>40.431032599999988</v>
      </c>
      <c r="D96" s="330">
        <f t="shared" si="45"/>
        <v>40.758524799999975</v>
      </c>
      <c r="E96" s="330">
        <f t="shared" si="45"/>
        <v>44.678997299999978</v>
      </c>
      <c r="F96" s="330">
        <f t="shared" si="45"/>
        <v>50.061265799999973</v>
      </c>
      <c r="G96" s="330">
        <f t="shared" si="45"/>
        <v>44.925500899999982</v>
      </c>
      <c r="H96" s="330">
        <f t="shared" si="45"/>
        <v>44.432372599999979</v>
      </c>
      <c r="I96" s="330">
        <f t="shared" si="45"/>
        <v>46.171401149999973</v>
      </c>
      <c r="J96" s="330">
        <f t="shared" si="45"/>
        <v>46.725128659999982</v>
      </c>
      <c r="K96" s="330">
        <f t="shared" si="45"/>
        <v>48.644050559999968</v>
      </c>
      <c r="L96" s="330">
        <f t="shared" si="45"/>
        <v>59.459414419999973</v>
      </c>
      <c r="M96" s="330">
        <f t="shared" si="45"/>
        <v>59.807062979999976</v>
      </c>
      <c r="N96" s="330">
        <f t="shared" si="45"/>
        <v>37.534454999999987</v>
      </c>
    </row>
    <row r="97" spans="1:14" x14ac:dyDescent="0.2">
      <c r="C97" s="103"/>
      <c r="D97" s="103"/>
      <c r="E97" s="103"/>
      <c r="F97" s="103"/>
      <c r="G97" s="103"/>
      <c r="H97" s="103"/>
      <c r="I97" s="103"/>
      <c r="J97" s="103"/>
      <c r="K97" s="103"/>
      <c r="L97" s="103"/>
      <c r="M97" s="103"/>
      <c r="N97" s="103"/>
    </row>
    <row r="98" spans="1:14" x14ac:dyDescent="0.2">
      <c r="A98" s="327"/>
      <c r="B98" s="327"/>
      <c r="C98" s="177"/>
      <c r="D98" s="177"/>
      <c r="E98" s="177"/>
      <c r="F98" s="177"/>
      <c r="G98" s="177"/>
      <c r="H98" s="177"/>
      <c r="I98" s="177"/>
      <c r="J98" s="329"/>
    </row>
    <row r="99" spans="1:14" ht="8.1" customHeight="1" x14ac:dyDescent="0.2">
      <c r="C99" s="328"/>
      <c r="D99" s="328"/>
      <c r="E99" s="328"/>
      <c r="F99" s="328"/>
      <c r="G99" s="328"/>
      <c r="H99" s="328"/>
      <c r="I99" s="328"/>
      <c r="J99" s="328"/>
    </row>
    <row r="100" spans="1:14" x14ac:dyDescent="0.2">
      <c r="A100" s="327"/>
      <c r="B100" s="327"/>
      <c r="C100" s="329"/>
      <c r="D100" s="329"/>
      <c r="E100" s="329"/>
      <c r="F100" s="329"/>
      <c r="G100" s="329"/>
      <c r="H100" s="329"/>
      <c r="I100" s="329"/>
      <c r="J100" s="329"/>
    </row>
    <row r="101" spans="1:14" ht="8.1" customHeight="1" x14ac:dyDescent="0.2">
      <c r="C101" s="328"/>
      <c r="D101" s="328"/>
      <c r="E101" s="328"/>
      <c r="F101" s="328"/>
      <c r="G101" s="328"/>
      <c r="H101" s="328"/>
      <c r="I101" s="328"/>
      <c r="J101" s="328"/>
    </row>
    <row r="102" spans="1:14" x14ac:dyDescent="0.2">
      <c r="A102" s="327"/>
      <c r="C102" s="103"/>
      <c r="D102" s="103"/>
      <c r="E102" s="103"/>
      <c r="F102" s="103"/>
      <c r="G102" s="103"/>
      <c r="H102" s="103"/>
      <c r="I102" s="103"/>
      <c r="J102" s="106"/>
    </row>
  </sheetData>
  <pageMargins left="0.25" right="0.25" top="0.75" bottom="0.75" header="0.3" footer="0.3"/>
  <pageSetup scale="62" fitToWidth="0" orientation="portrait" r:id="rId1"/>
  <headerFooter alignWithMargins="0"/>
  <rowBreaks count="1" manualBreakCount="1">
    <brk id="53" max="13" man="1"/>
  </rowBreak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A103"/>
  <sheetViews>
    <sheetView showGridLines="0" topLeftCell="A17" zoomScale="90" zoomScaleNormal="90" zoomScalePageLayoutView="90" workbookViewId="0">
      <selection activeCell="M43" sqref="M43"/>
    </sheetView>
  </sheetViews>
  <sheetFormatPr defaultRowHeight="12.75" x14ac:dyDescent="0.2"/>
  <cols>
    <col min="1" max="1" width="18.7109375" style="5" customWidth="1"/>
    <col min="2" max="2" width="10.140625" style="5" customWidth="1"/>
    <col min="3" max="3" width="4.5703125" style="5" customWidth="1"/>
    <col min="4" max="4" width="11.28515625" style="5" customWidth="1"/>
    <col min="5" max="5" width="5.5703125" style="5" customWidth="1"/>
    <col min="6" max="6" width="13" style="5" customWidth="1"/>
    <col min="7" max="7" width="8.7109375" style="5" customWidth="1"/>
    <col min="8" max="8" width="4.7109375" style="5" bestFit="1" customWidth="1"/>
    <col min="9" max="9" width="10.42578125" style="5" customWidth="1"/>
    <col min="10" max="10" width="9.42578125" style="5" customWidth="1"/>
    <col min="11" max="11" width="5.42578125" style="5" bestFit="1" customWidth="1"/>
    <col min="12" max="14" width="9.5703125" style="5" customWidth="1"/>
    <col min="15" max="15" width="15.28515625" style="5" bestFit="1" customWidth="1"/>
    <col min="16" max="16" width="36.7109375" style="5" bestFit="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0</v>
      </c>
      <c r="B1" s="2"/>
      <c r="C1" s="2"/>
      <c r="D1" s="2"/>
      <c r="E1" s="2"/>
      <c r="F1" s="2"/>
      <c r="G1" s="3"/>
      <c r="H1" s="2"/>
      <c r="I1" s="2"/>
      <c r="J1" s="1" t="s">
        <v>58</v>
      </c>
      <c r="K1" s="2"/>
      <c r="L1" s="2"/>
      <c r="M1" s="2"/>
      <c r="N1" s="2"/>
      <c r="O1" s="2"/>
      <c r="P1" s="2"/>
      <c r="Q1" s="2"/>
      <c r="R1" s="2"/>
      <c r="S1" s="2"/>
      <c r="T1" s="2"/>
      <c r="U1" s="2"/>
      <c r="V1" s="2"/>
      <c r="W1" s="4"/>
      <c r="X1" s="4"/>
      <c r="Y1" s="4"/>
      <c r="Z1" s="4"/>
      <c r="AA1" s="4"/>
    </row>
    <row r="2" spans="1:27" x14ac:dyDescent="0.2">
      <c r="A2" s="6" t="s">
        <v>1</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2017</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2</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3</v>
      </c>
      <c r="G5" s="11"/>
      <c r="H5" s="11"/>
      <c r="I5" s="11"/>
      <c r="J5" s="11"/>
      <c r="K5" s="11"/>
      <c r="L5" s="2"/>
      <c r="M5" s="2"/>
      <c r="N5" s="2"/>
      <c r="O5" s="114" t="str">
        <f>"Total "&amp;F5</f>
        <v>Total Commodity</v>
      </c>
      <c r="P5" s="115"/>
      <c r="Q5" s="2"/>
      <c r="R5" s="2"/>
      <c r="S5" s="2"/>
      <c r="T5" s="2"/>
      <c r="U5" s="2"/>
      <c r="V5" s="13"/>
      <c r="W5" s="14"/>
      <c r="X5" s="14"/>
      <c r="Y5" s="14"/>
      <c r="AA5" s="14"/>
    </row>
    <row r="6" spans="1:27" s="16" customFormat="1" ht="11.25" x14ac:dyDescent="0.2">
      <c r="A6" s="15"/>
      <c r="B6" s="12"/>
      <c r="C6" s="12"/>
      <c r="D6" s="12" t="s">
        <v>3</v>
      </c>
      <c r="E6" s="12"/>
      <c r="F6" s="12" t="s">
        <v>4</v>
      </c>
      <c r="G6" s="12"/>
      <c r="H6" s="12"/>
      <c r="I6" s="12"/>
      <c r="J6" s="12" t="s">
        <v>5</v>
      </c>
      <c r="K6" s="12"/>
      <c r="O6" s="116" t="str">
        <f>+F6</f>
        <v>Revenue</v>
      </c>
      <c r="P6" s="117"/>
    </row>
    <row r="7" spans="1:27" s="16" customFormat="1" ht="11.25" x14ac:dyDescent="0.2">
      <c r="A7" s="15" t="s">
        <v>6</v>
      </c>
      <c r="B7" s="12" t="s">
        <v>7</v>
      </c>
      <c r="C7" s="12"/>
      <c r="D7" s="12" t="s">
        <v>4</v>
      </c>
      <c r="E7" s="12"/>
      <c r="F7" s="12" t="s">
        <v>8</v>
      </c>
      <c r="G7" s="12"/>
      <c r="H7" s="12"/>
      <c r="I7" s="12"/>
      <c r="J7" s="12" t="s">
        <v>7</v>
      </c>
      <c r="K7" s="12"/>
      <c r="O7" s="116" t="str">
        <f>+F7</f>
        <v>per Customer</v>
      </c>
      <c r="P7" s="117"/>
    </row>
    <row r="8" spans="1:27" s="16" customFormat="1" ht="11.25" x14ac:dyDescent="0.2">
      <c r="A8" s="17">
        <f>+'Single Family (2)'!C6</f>
        <v>42491</v>
      </c>
      <c r="B8" s="18">
        <v>20183</v>
      </c>
      <c r="C8" s="19"/>
      <c r="D8" s="20">
        <f>VLOOKUP(A8,'Value (2)'!$A$6:$O$17,15,)</f>
        <v>16368.111896219987</v>
      </c>
      <c r="E8" s="19"/>
      <c r="F8" s="73">
        <f>ROUND(D8/B8,2)</f>
        <v>0.81</v>
      </c>
      <c r="G8" s="19"/>
      <c r="H8" s="19"/>
      <c r="I8" s="19"/>
      <c r="J8" s="14">
        <f>+B8</f>
        <v>20183</v>
      </c>
      <c r="K8" s="13">
        <v>2015</v>
      </c>
      <c r="O8" s="118">
        <f>VLOOKUP(A8,'Value (2)'!$A$7:$N$18,13,FALSE)</f>
        <v>32737.007096219986</v>
      </c>
      <c r="P8" s="117"/>
    </row>
    <row r="9" spans="1:27" s="16" customFormat="1" ht="11.25" x14ac:dyDescent="0.2">
      <c r="A9" s="17">
        <f>'Value (2)'!A8</f>
        <v>42551</v>
      </c>
      <c r="B9" s="18">
        <v>20335</v>
      </c>
      <c r="C9" s="22"/>
      <c r="D9" s="20">
        <f>VLOOKUP(A9,'Value (2)'!$A$6:$O$17,15,)</f>
        <v>17740.952679839978</v>
      </c>
      <c r="E9" s="14"/>
      <c r="F9" s="70">
        <f>ROUND(D9/B9,2)</f>
        <v>0.87</v>
      </c>
      <c r="G9" s="14"/>
      <c r="H9" s="14"/>
      <c r="I9" s="14"/>
      <c r="J9" s="14">
        <f>+B9</f>
        <v>20335</v>
      </c>
      <c r="K9" s="13">
        <v>2015</v>
      </c>
      <c r="O9" s="118">
        <f>VLOOKUP(A9,'Value (2)'!$A$7:$N$18,13,FALSE)</f>
        <v>35477.966779839975</v>
      </c>
      <c r="P9" s="117"/>
    </row>
    <row r="10" spans="1:27" s="16" customFormat="1" ht="11.25" x14ac:dyDescent="0.2">
      <c r="A10" s="17">
        <f>'Value (2)'!A9</f>
        <v>42582</v>
      </c>
      <c r="B10" s="18">
        <v>20186</v>
      </c>
      <c r="C10" s="14"/>
      <c r="D10" s="20">
        <f>VLOOKUP(A10,'Value (2)'!$A$6:$O$17,15,)</f>
        <v>17805.933505319983</v>
      </c>
      <c r="E10" s="14"/>
      <c r="F10" s="70">
        <f>ROUND(D10/B10,2)</f>
        <v>0.88</v>
      </c>
      <c r="G10" s="14"/>
      <c r="H10" s="14"/>
      <c r="I10" s="14"/>
      <c r="J10" s="14">
        <f>+B10</f>
        <v>20186</v>
      </c>
      <c r="K10" s="13">
        <v>2015</v>
      </c>
      <c r="O10" s="118">
        <f>VLOOKUP(A10,'Value (2)'!$A$7:$N$18,13,FALSE)</f>
        <v>35607.884305319982</v>
      </c>
      <c r="P10" s="117"/>
    </row>
    <row r="11" spans="1:27" s="16" customFormat="1" ht="11.25" x14ac:dyDescent="0.2">
      <c r="B11" s="21"/>
      <c r="C11" s="14"/>
      <c r="E11" s="14"/>
      <c r="F11" s="73"/>
      <c r="G11" s="24"/>
      <c r="H11" s="22"/>
      <c r="I11" s="14"/>
      <c r="J11" s="14"/>
      <c r="K11" s="13"/>
      <c r="O11" s="118"/>
      <c r="P11" s="117"/>
    </row>
    <row r="12" spans="1:27" s="16" customFormat="1" ht="11.25" x14ac:dyDescent="0.2">
      <c r="A12" s="17" t="s">
        <v>66</v>
      </c>
      <c r="B12" s="23">
        <f>SUM(B8:B11)</f>
        <v>60704</v>
      </c>
      <c r="C12" s="22" t="s">
        <v>9</v>
      </c>
      <c r="D12" s="72">
        <f>SUM(D8:D11)</f>
        <v>51914.998081379948</v>
      </c>
      <c r="E12" s="14"/>
      <c r="F12" s="72">
        <f>ROUND(D12/B12,2)</f>
        <v>0.86</v>
      </c>
      <c r="G12" s="14"/>
      <c r="H12" s="14"/>
      <c r="I12" s="14"/>
      <c r="J12" s="14"/>
      <c r="K12" s="13"/>
      <c r="O12" s="118"/>
      <c r="P12" s="117"/>
    </row>
    <row r="13" spans="1:27" s="16" customFormat="1" ht="11.25" x14ac:dyDescent="0.2">
      <c r="A13" s="17"/>
      <c r="B13" s="21"/>
      <c r="C13" s="14"/>
      <c r="E13" s="14"/>
      <c r="F13" s="73"/>
      <c r="G13" s="24"/>
      <c r="H13" s="22"/>
      <c r="I13" s="14"/>
      <c r="J13" s="14"/>
      <c r="K13" s="13"/>
      <c r="O13" s="118"/>
      <c r="P13" s="117"/>
      <c r="Q13" s="14"/>
      <c r="R13" s="14"/>
    </row>
    <row r="14" spans="1:27" s="16" customFormat="1" ht="11.25" x14ac:dyDescent="0.2">
      <c r="A14" s="17">
        <f>'Value (2)'!A10</f>
        <v>42613</v>
      </c>
      <c r="B14" s="21">
        <v>20288</v>
      </c>
      <c r="C14" s="14"/>
      <c r="D14" s="20">
        <f>VLOOKUP(A14,'Value (2)'!$A$6:$O$17,15,)</f>
        <v>23307.967434839979</v>
      </c>
      <c r="E14" s="14"/>
      <c r="F14" s="70">
        <f t="shared" ref="F14:F22" si="0">ROUND(D14/B14,2)</f>
        <v>1.1499999999999999</v>
      </c>
      <c r="G14" s="24"/>
      <c r="H14" s="14"/>
      <c r="I14" s="14"/>
      <c r="J14" s="14">
        <f t="shared" ref="J14:J22" si="1">+B14</f>
        <v>20288</v>
      </c>
      <c r="K14" s="13">
        <v>2015</v>
      </c>
      <c r="O14" s="118">
        <f>VLOOKUP(A14,'Value (2)'!$A$7:$N$18,13,FALSE)</f>
        <v>46618.481034839977</v>
      </c>
      <c r="P14" s="117"/>
    </row>
    <row r="15" spans="1:27" s="16" customFormat="1" ht="11.25" x14ac:dyDescent="0.2">
      <c r="A15" s="17">
        <f>'Value (2)'!A11</f>
        <v>42643</v>
      </c>
      <c r="B15" s="21">
        <v>20247</v>
      </c>
      <c r="C15" s="14"/>
      <c r="D15" s="20">
        <f>VLOOKUP(A15,'Value (2)'!$A$6:$O$17,15,)</f>
        <v>18150.342512939988</v>
      </c>
      <c r="E15" s="14"/>
      <c r="F15" s="70">
        <f t="shared" si="0"/>
        <v>0.9</v>
      </c>
      <c r="G15" s="24"/>
      <c r="H15" s="14"/>
      <c r="I15" s="14"/>
      <c r="J15" s="14">
        <f t="shared" si="1"/>
        <v>20247</v>
      </c>
      <c r="K15" s="13">
        <v>2015</v>
      </c>
      <c r="O15" s="118">
        <f>VLOOKUP(A15,'Value (2)'!$A$7:$N$18,13,FALSE)</f>
        <v>36301.088312939988</v>
      </c>
      <c r="P15" s="117"/>
    </row>
    <row r="16" spans="1:27" s="16" customFormat="1" ht="11.25" x14ac:dyDescent="0.2">
      <c r="A16" s="17">
        <f>'Value (2)'!A12</f>
        <v>42674</v>
      </c>
      <c r="B16" s="21">
        <v>20040</v>
      </c>
      <c r="C16" s="14"/>
      <c r="D16" s="20">
        <f>VLOOKUP(A16,'Value (2)'!$A$6:$O$17,15,)</f>
        <v>17455.736640899984</v>
      </c>
      <c r="E16" s="14"/>
      <c r="F16" s="70">
        <f t="shared" si="0"/>
        <v>0.87</v>
      </c>
      <c r="G16" s="24"/>
      <c r="H16" s="14"/>
      <c r="I16" s="14"/>
      <c r="J16" s="14">
        <f t="shared" si="1"/>
        <v>20040</v>
      </c>
      <c r="K16" s="13">
        <v>2015</v>
      </c>
      <c r="O16" s="118">
        <f>VLOOKUP(A16,'Value (2)'!$A$7:$N$18,13,FALSE)</f>
        <v>34914.32364089998</v>
      </c>
      <c r="P16" s="117"/>
      <c r="X16" s="14"/>
      <c r="Y16" s="14"/>
    </row>
    <row r="17" spans="1:27" s="16" customFormat="1" ht="11.25" x14ac:dyDescent="0.2">
      <c r="A17" s="17">
        <f>'Value (2)'!A13</f>
        <v>42704</v>
      </c>
      <c r="B17" s="21">
        <v>20074</v>
      </c>
      <c r="C17" s="14"/>
      <c r="D17" s="20">
        <f>VLOOKUP(A17,'Value (2)'!$A$6:$O$17,15,)</f>
        <v>17785.982420294986</v>
      </c>
      <c r="E17" s="14"/>
      <c r="F17" s="70">
        <f t="shared" si="0"/>
        <v>0.89</v>
      </c>
      <c r="G17" s="24"/>
      <c r="H17" s="14"/>
      <c r="I17" s="14"/>
      <c r="J17" s="14">
        <f t="shared" si="1"/>
        <v>20074</v>
      </c>
      <c r="K17" s="13">
        <v>2015</v>
      </c>
      <c r="L17" s="14"/>
      <c r="M17" s="14"/>
      <c r="N17" s="14"/>
      <c r="O17" s="118">
        <f>VLOOKUP(A17,'Value (2)'!$A$7:$N$18,13,FALSE)</f>
        <v>35572.426220294983</v>
      </c>
      <c r="P17" s="117"/>
      <c r="S17" s="14"/>
      <c r="T17" s="14"/>
      <c r="U17" s="14"/>
      <c r="V17" s="14"/>
      <c r="W17" s="14"/>
      <c r="Y17" s="14"/>
      <c r="AA17" s="14"/>
    </row>
    <row r="18" spans="1:27" s="16" customFormat="1" ht="11.25" x14ac:dyDescent="0.2">
      <c r="A18" s="17">
        <f>'Value (2)'!A14</f>
        <v>42735</v>
      </c>
      <c r="B18" s="21">
        <v>20195</v>
      </c>
      <c r="C18" s="14"/>
      <c r="D18" s="20">
        <f>VLOOKUP(A18,'Value (2)'!$A$6:$O$17,15,)</f>
        <v>16237.264033403981</v>
      </c>
      <c r="E18" s="14"/>
      <c r="F18" s="70">
        <f t="shared" si="0"/>
        <v>0.8</v>
      </c>
      <c r="G18" s="24"/>
      <c r="H18" s="22"/>
      <c r="I18" s="14"/>
      <c r="J18" s="14">
        <f t="shared" si="1"/>
        <v>20195</v>
      </c>
      <c r="K18" s="13">
        <v>2015</v>
      </c>
      <c r="O18" s="118">
        <f>VLOOKUP(A18,'Value (2)'!$A$7:$N$18,13,FALSE)</f>
        <v>32479.304433403981</v>
      </c>
      <c r="P18" s="117"/>
    </row>
    <row r="19" spans="1:27" s="16" customFormat="1" ht="11.25" x14ac:dyDescent="0.2">
      <c r="A19" s="17">
        <f>'Value (2)'!A15</f>
        <v>42766</v>
      </c>
      <c r="B19" s="21">
        <v>20198</v>
      </c>
      <c r="C19" s="14"/>
      <c r="D19" s="20">
        <f>VLOOKUP(A19,'Value (2)'!$A$6:$O$17,15,)</f>
        <v>21084.87161545597</v>
      </c>
      <c r="E19" s="14"/>
      <c r="F19" s="70">
        <f t="shared" si="0"/>
        <v>1.04</v>
      </c>
      <c r="G19" s="24"/>
      <c r="H19" s="22"/>
      <c r="I19" s="14"/>
      <c r="J19" s="14">
        <f t="shared" si="1"/>
        <v>20198</v>
      </c>
      <c r="K19" s="13">
        <v>2016</v>
      </c>
      <c r="O19" s="118">
        <f>VLOOKUP(A19,'Value (2)'!$A$7:$N$18,13,FALSE)</f>
        <v>42168.832515455972</v>
      </c>
      <c r="P19" s="117"/>
    </row>
    <row r="20" spans="1:27" s="16" customFormat="1" ht="11.25" x14ac:dyDescent="0.2">
      <c r="A20" s="17">
        <f>'Value (2)'!A16</f>
        <v>42794</v>
      </c>
      <c r="B20" s="21">
        <v>20101</v>
      </c>
      <c r="C20" s="14"/>
      <c r="D20" s="20">
        <f>VLOOKUP(A20,'Value (2)'!$A$6:$O$17,15,)</f>
        <v>20174.634505205988</v>
      </c>
      <c r="E20" s="14"/>
      <c r="F20" s="70">
        <f t="shared" si="0"/>
        <v>1</v>
      </c>
      <c r="G20" s="24"/>
      <c r="H20" s="22"/>
      <c r="I20" s="14"/>
      <c r="J20" s="14">
        <f t="shared" si="1"/>
        <v>20101</v>
      </c>
      <c r="K20" s="13">
        <v>2016</v>
      </c>
      <c r="O20" s="118">
        <f>VLOOKUP(A20,'Value (2)'!$A$7:$N$18,13,FALSE)</f>
        <v>40348.309205205987</v>
      </c>
      <c r="P20" s="34"/>
    </row>
    <row r="21" spans="1:27" s="16" customFormat="1" ht="11.25" x14ac:dyDescent="0.2">
      <c r="A21" s="17">
        <f>'Value (2)'!A17</f>
        <v>42825</v>
      </c>
      <c r="B21" s="21">
        <v>20132</v>
      </c>
      <c r="C21" s="14"/>
      <c r="D21" s="20">
        <f>VLOOKUP(A21,'Value (2)'!$A$6:$O$17,15,)</f>
        <v>24633.716096309989</v>
      </c>
      <c r="E21" s="14"/>
      <c r="F21" s="70">
        <f t="shared" si="0"/>
        <v>1.22</v>
      </c>
      <c r="G21" s="24"/>
      <c r="H21" s="22"/>
      <c r="I21" s="14"/>
      <c r="J21" s="14">
        <f t="shared" si="1"/>
        <v>20132</v>
      </c>
      <c r="K21" s="13">
        <v>2016</v>
      </c>
      <c r="O21" s="118">
        <f>VLOOKUP(A21,'Value (2)'!$A$7:$N$18,13,FALSE)</f>
        <v>49268.204096309986</v>
      </c>
      <c r="P21" s="117"/>
    </row>
    <row r="22" spans="1:27" s="16" customFormat="1" ht="11.25" x14ac:dyDescent="0.2">
      <c r="A22" s="17">
        <f>'Value (2)'!A18</f>
        <v>42855</v>
      </c>
      <c r="B22" s="21">
        <v>20209</v>
      </c>
      <c r="C22" s="14"/>
      <c r="D22" s="20">
        <f>'Value (2)'!O18</f>
        <v>12858.655846499985</v>
      </c>
      <c r="E22" s="14"/>
      <c r="F22" s="70">
        <f t="shared" si="0"/>
        <v>0.64</v>
      </c>
      <c r="G22" s="24"/>
      <c r="H22" s="22"/>
      <c r="I22" s="14"/>
      <c r="J22" s="14">
        <f t="shared" si="1"/>
        <v>20209</v>
      </c>
      <c r="K22" s="13">
        <v>2016</v>
      </c>
      <c r="O22" s="118">
        <f>VLOOKUP(A22,'Value (2)'!$A$7:$N$18,13,FALSE)</f>
        <v>25716.999946499986</v>
      </c>
      <c r="P22" s="117"/>
    </row>
    <row r="23" spans="1:27" s="16" customFormat="1" ht="11.25" x14ac:dyDescent="0.2">
      <c r="A23" s="17"/>
      <c r="B23" s="14"/>
      <c r="C23" s="14"/>
      <c r="E23" s="14"/>
      <c r="F23" s="73"/>
      <c r="G23" s="14"/>
      <c r="H23" s="14"/>
      <c r="I23" s="14"/>
      <c r="J23" s="14"/>
      <c r="K23" s="13"/>
      <c r="O23" s="119"/>
    </row>
    <row r="24" spans="1:27" s="16" customFormat="1" ht="11.25" x14ac:dyDescent="0.2">
      <c r="A24" s="17" t="s">
        <v>65</v>
      </c>
      <c r="B24" s="23">
        <f>SUM(B14:B23)</f>
        <v>181484</v>
      </c>
      <c r="C24" s="22" t="s">
        <v>10</v>
      </c>
      <c r="D24" s="72">
        <f>SUM(D14:D23)</f>
        <v>171689.17110585081</v>
      </c>
      <c r="E24" s="14"/>
      <c r="F24" s="72">
        <f>D24/B24</f>
        <v>0.94602924283050194</v>
      </c>
      <c r="G24" s="14"/>
      <c r="H24" s="14"/>
      <c r="I24" s="14"/>
      <c r="J24" s="14"/>
      <c r="K24" s="13"/>
      <c r="O24" s="119"/>
      <c r="P24" s="120" t="s">
        <v>59</v>
      </c>
    </row>
    <row r="25" spans="1:27" x14ac:dyDescent="0.2">
      <c r="D25" s="25"/>
      <c r="F25" s="25"/>
      <c r="O25" s="119">
        <f>SUM(O8:O24)</f>
        <v>447210.82758723077</v>
      </c>
      <c r="P25" s="121"/>
      <c r="Q25" s="16"/>
      <c r="R25" s="16"/>
    </row>
    <row r="26" spans="1:27" s="16" customFormat="1" ht="12" thickBot="1" x14ac:dyDescent="0.25">
      <c r="A26" s="26"/>
      <c r="B26" s="27">
        <f>+B12+B24</f>
        <v>242188</v>
      </c>
      <c r="C26" s="22"/>
      <c r="D26" s="71">
        <f>+D12+D24</f>
        <v>223604.16918723076</v>
      </c>
      <c r="E26" s="22" t="s">
        <v>11</v>
      </c>
      <c r="F26" s="111">
        <f>ROUND(D26/B26,3)</f>
        <v>0.92300000000000004</v>
      </c>
      <c r="G26" s="22" t="s">
        <v>12</v>
      </c>
      <c r="H26" s="14"/>
      <c r="I26" s="14"/>
      <c r="J26" s="27">
        <f>SUM(J8:J25)</f>
        <v>242188</v>
      </c>
      <c r="K26" s="22" t="s">
        <v>13</v>
      </c>
      <c r="O26" s="122">
        <f>ROUND(O25/J26,3)</f>
        <v>1.847</v>
      </c>
      <c r="P26" s="117" t="s">
        <v>60</v>
      </c>
    </row>
    <row r="27" spans="1:27" s="16" customFormat="1" ht="12" thickTop="1" x14ac:dyDescent="0.2">
      <c r="B27" s="14"/>
      <c r="C27" s="14"/>
      <c r="D27" s="14"/>
      <c r="E27" s="14"/>
      <c r="F27" s="14"/>
      <c r="G27" s="14"/>
      <c r="H27" s="14"/>
      <c r="I27" s="14"/>
      <c r="J27" s="14"/>
      <c r="K27" s="14"/>
      <c r="O27" s="123">
        <f>+J22</f>
        <v>20209</v>
      </c>
      <c r="P27" s="117" t="s">
        <v>61</v>
      </c>
    </row>
    <row r="28" spans="1:27" s="16" customFormat="1" ht="11.25" x14ac:dyDescent="0.2">
      <c r="B28" s="14"/>
      <c r="C28" s="14"/>
      <c r="D28" s="14"/>
      <c r="E28" s="14"/>
      <c r="F28" s="14"/>
      <c r="G28" s="14"/>
      <c r="H28" s="14"/>
      <c r="I28" s="14"/>
      <c r="J28" s="14"/>
      <c r="K28" s="14"/>
      <c r="O28" s="117"/>
      <c r="P28" s="117" t="s">
        <v>62</v>
      </c>
    </row>
    <row r="29" spans="1:27" s="16" customFormat="1" ht="12" thickBot="1" x14ac:dyDescent="0.25">
      <c r="B29" s="28" t="s">
        <v>14</v>
      </c>
      <c r="C29" s="29"/>
      <c r="D29" s="29"/>
      <c r="E29" s="29"/>
      <c r="F29" s="14"/>
      <c r="G29" s="14"/>
      <c r="H29" s="14"/>
      <c r="I29" s="14"/>
      <c r="J29" s="14"/>
      <c r="K29" s="14"/>
    </row>
    <row r="30" spans="1:27" s="16" customFormat="1" ht="12" thickTop="1" x14ac:dyDescent="0.2">
      <c r="A30" s="6"/>
      <c r="B30" s="30"/>
      <c r="C30" s="14"/>
      <c r="D30" s="14"/>
      <c r="E30" s="14"/>
      <c r="F30" s="14"/>
      <c r="G30" s="14"/>
      <c r="H30" s="14"/>
      <c r="I30" s="14"/>
      <c r="J30" s="14"/>
      <c r="K30" s="14"/>
      <c r="X30" s="14"/>
      <c r="Y30" s="14"/>
    </row>
    <row r="31" spans="1:27" s="16" customFormat="1" ht="11.25" x14ac:dyDescent="0.2">
      <c r="A31" s="8"/>
      <c r="B31" s="30"/>
      <c r="C31" s="14"/>
      <c r="D31" s="14"/>
      <c r="E31" s="14"/>
      <c r="F31" s="31" t="s">
        <v>15</v>
      </c>
      <c r="G31" s="14">
        <f>ROUND(D26,0)</f>
        <v>223604</v>
      </c>
      <c r="H31" s="22" t="s">
        <v>11</v>
      </c>
      <c r="I31" s="14"/>
      <c r="J31" s="14"/>
      <c r="K31" s="14"/>
      <c r="Q31" s="13"/>
      <c r="R31" s="13"/>
    </row>
    <row r="32" spans="1:27" s="13" customFormat="1" ht="11.25" x14ac:dyDescent="0.2">
      <c r="A32" s="32"/>
      <c r="B32" s="30"/>
      <c r="C32" s="14"/>
      <c r="D32" s="14"/>
      <c r="E32" s="14"/>
      <c r="F32" s="14"/>
      <c r="G32" s="14"/>
      <c r="H32" s="22"/>
      <c r="I32" s="14"/>
      <c r="J32" s="14"/>
      <c r="K32" s="14"/>
      <c r="O32" s="16">
        <f>12*O27*O26</f>
        <v>447912.27600000001</v>
      </c>
      <c r="P32" s="13" t="s">
        <v>63</v>
      </c>
      <c r="Q32" s="16"/>
      <c r="R32" s="16"/>
      <c r="W32" s="14"/>
      <c r="X32" s="16"/>
      <c r="Y32" s="16"/>
      <c r="AA32" s="14"/>
    </row>
    <row r="33" spans="2:27" s="16" customFormat="1" ht="11.25" x14ac:dyDescent="0.2">
      <c r="B33" s="14" t="s">
        <v>16</v>
      </c>
      <c r="C33" s="14"/>
      <c r="D33" s="14"/>
      <c r="E33" s="14"/>
      <c r="F33" s="33">
        <v>0.87</v>
      </c>
      <c r="G33" s="14"/>
      <c r="H33" s="14"/>
      <c r="I33" s="14"/>
      <c r="J33" s="14"/>
      <c r="K33" s="14"/>
      <c r="O33" s="16">
        <f>12*O27*G56</f>
        <v>224900.33138371073</v>
      </c>
      <c r="P33" s="16" t="s">
        <v>64</v>
      </c>
    </row>
    <row r="34" spans="2:27" s="16" customFormat="1" ht="11.25" x14ac:dyDescent="0.2">
      <c r="B34" s="74" t="str">
        <f>"Customers from "&amp;TEXT($A$8,"mm/yy")&amp;" - "&amp;TEXT($A$10,"mm/yy")</f>
        <v>Customers from 05/16 - 07/16</v>
      </c>
      <c r="D34" s="14"/>
      <c r="E34" s="14"/>
      <c r="F34" s="34">
        <f>SUM(B8:B10)</f>
        <v>60704</v>
      </c>
      <c r="G34" s="22" t="s">
        <v>9</v>
      </c>
      <c r="H34" s="14"/>
      <c r="I34" s="14"/>
      <c r="J34" s="14"/>
      <c r="K34" s="14"/>
      <c r="O34" s="124">
        <f>+O33/O32</f>
        <v>0.50210798728747219</v>
      </c>
    </row>
    <row r="35" spans="2:27" s="16" customFormat="1" ht="11.25" x14ac:dyDescent="0.2">
      <c r="B35" s="14"/>
      <c r="C35" s="14" t="s">
        <v>17</v>
      </c>
      <c r="D35" s="14"/>
      <c r="E35" s="14"/>
      <c r="F35" s="23">
        <f>ROUND(F33*F34,0)</f>
        <v>52812</v>
      </c>
      <c r="G35" s="22"/>
      <c r="H35" s="14"/>
      <c r="I35" s="14"/>
      <c r="J35" s="14"/>
      <c r="K35" s="14"/>
    </row>
    <row r="36" spans="2:27" s="16" customFormat="1" ht="11.25" x14ac:dyDescent="0.2">
      <c r="B36" s="14"/>
      <c r="C36" s="14"/>
      <c r="D36" s="14"/>
      <c r="E36" s="14"/>
      <c r="F36" s="34"/>
      <c r="G36" s="22"/>
      <c r="H36" s="14"/>
      <c r="I36" s="14"/>
      <c r="J36" s="14"/>
      <c r="K36" s="16">
        <f>D26/O25</f>
        <v>0.4999972169582938</v>
      </c>
    </row>
    <row r="37" spans="2:27" s="16" customFormat="1" ht="11.25" x14ac:dyDescent="0.2">
      <c r="B37" s="14" t="s">
        <v>16</v>
      </c>
      <c r="C37" s="14"/>
      <c r="D37" s="14"/>
      <c r="E37" s="14"/>
      <c r="F37" s="33">
        <v>0.84</v>
      </c>
      <c r="G37" s="14"/>
      <c r="H37" s="14"/>
      <c r="I37" s="14"/>
      <c r="J37" s="14"/>
      <c r="K37" s="14"/>
    </row>
    <row r="38" spans="2:27" s="16" customFormat="1" ht="11.25" x14ac:dyDescent="0.2">
      <c r="B38" s="74" t="str">
        <f>"Customers from "&amp;TEXT(A14,"mm/yy")&amp;" - "&amp;TEXT($A$22,"mm/yy")</f>
        <v>Customers from 08/16 - 04/17</v>
      </c>
      <c r="D38" s="14"/>
      <c r="E38" s="14"/>
      <c r="F38" s="14">
        <f>B24</f>
        <v>181484</v>
      </c>
      <c r="G38" s="22" t="s">
        <v>10</v>
      </c>
      <c r="H38" s="14"/>
      <c r="I38" s="14"/>
      <c r="J38" s="14"/>
      <c r="K38" s="14"/>
    </row>
    <row r="39" spans="2:27" s="16" customFormat="1" ht="11.25" x14ac:dyDescent="0.2">
      <c r="B39" s="14"/>
      <c r="C39" s="14" t="s">
        <v>17</v>
      </c>
      <c r="D39" s="14"/>
      <c r="E39" s="14"/>
      <c r="F39" s="23">
        <f>ROUND(F37*F38,0)</f>
        <v>152447</v>
      </c>
      <c r="G39" s="22"/>
      <c r="H39" s="14"/>
      <c r="I39" s="14"/>
      <c r="J39" s="14"/>
      <c r="K39" s="14"/>
    </row>
    <row r="40" spans="2:27" s="16" customFormat="1" ht="11.25" x14ac:dyDescent="0.2">
      <c r="B40" s="14"/>
      <c r="C40" s="14"/>
      <c r="D40" s="14"/>
      <c r="E40" s="14"/>
      <c r="F40" s="35"/>
      <c r="G40" s="22"/>
      <c r="H40" s="14"/>
      <c r="I40" s="14"/>
      <c r="J40" s="14"/>
      <c r="K40" s="14"/>
    </row>
    <row r="41" spans="2:27" s="16" customFormat="1" ht="12" thickBot="1" x14ac:dyDescent="0.25">
      <c r="B41" s="14"/>
      <c r="C41" s="14" t="s">
        <v>18</v>
      </c>
      <c r="D41" s="14"/>
      <c r="E41" s="14"/>
      <c r="F41" s="27">
        <f>+F35+F39</f>
        <v>205259</v>
      </c>
      <c r="G41" s="36">
        <f>+F41</f>
        <v>205259</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1" t="str">
        <f>IF(G44&lt;=0,"Excess","Deficient")&amp;" Commodity Credits"</f>
        <v>Deficient Commodity Credits</v>
      </c>
      <c r="G44" s="37">
        <f>+G31-G41</f>
        <v>18345</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8" t="str">
        <f>$K$22&amp;" Recycle Adjustment Calculation"</f>
        <v>2016 Recycle Adjustment Calculation</v>
      </c>
      <c r="C47" s="29"/>
      <c r="D47" s="29"/>
      <c r="E47" s="29"/>
      <c r="F47" s="29"/>
      <c r="G47" s="14"/>
      <c r="H47" s="14"/>
      <c r="I47" s="14"/>
      <c r="J47" s="14"/>
      <c r="K47" s="14"/>
      <c r="O47" s="14"/>
      <c r="P47" s="14"/>
      <c r="Q47" s="14"/>
      <c r="R47" s="14"/>
    </row>
    <row r="48" spans="2:27" s="16" customFormat="1" ht="12" thickTop="1" x14ac:dyDescent="0.2">
      <c r="B48" s="30"/>
      <c r="C48" s="14"/>
      <c r="D48" s="14"/>
      <c r="E48" s="14"/>
      <c r="F48" s="14"/>
      <c r="G48" s="14"/>
      <c r="H48" s="14"/>
      <c r="I48" s="14"/>
      <c r="J48" s="14"/>
      <c r="K48" s="14"/>
      <c r="L48" s="14"/>
      <c r="M48" s="14"/>
      <c r="N48" s="14"/>
      <c r="S48" s="14"/>
      <c r="T48" s="14"/>
      <c r="U48" s="14"/>
      <c r="V48" s="14"/>
      <c r="W48" s="14"/>
      <c r="AA48" s="14"/>
    </row>
    <row r="49" spans="1:25" s="16" customFormat="1" ht="11.25" x14ac:dyDescent="0.2">
      <c r="B49" s="14" t="str">
        <f>$K$10&amp;"/"&amp;$K$22&amp;" True-up Computation"</f>
        <v>2015/2016 True-up Computation</v>
      </c>
      <c r="C49" s="14"/>
      <c r="D49" s="14"/>
      <c r="E49" s="14"/>
      <c r="F49" s="14"/>
      <c r="G49" s="14"/>
      <c r="H49" s="14"/>
      <c r="I49" s="14"/>
      <c r="J49" s="14"/>
      <c r="K49" s="14"/>
    </row>
    <row r="50" spans="1:25" s="16" customFormat="1" ht="11.25" x14ac:dyDescent="0.2">
      <c r="B50" s="14"/>
      <c r="C50" s="14"/>
      <c r="D50" s="14"/>
      <c r="E50" s="14"/>
      <c r="F50" s="31" t="s">
        <v>19</v>
      </c>
      <c r="G50" s="14">
        <f>+J26</f>
        <v>242188</v>
      </c>
      <c r="H50" s="22" t="s">
        <v>13</v>
      </c>
      <c r="I50" s="14"/>
      <c r="J50" s="14"/>
      <c r="K50" s="14"/>
    </row>
    <row r="51" spans="1:25" s="16" customFormat="1" ht="11.25" x14ac:dyDescent="0.2">
      <c r="B51" s="14"/>
      <c r="C51" s="14"/>
      <c r="D51" s="14"/>
      <c r="E51" s="14"/>
      <c r="F51" s="31" t="str">
        <f>F44</f>
        <v>Deficient Commodity Credits</v>
      </c>
      <c r="G51" s="14">
        <f>+G44</f>
        <v>18345</v>
      </c>
      <c r="H51" s="14"/>
      <c r="I51" s="14"/>
      <c r="J51" s="14"/>
      <c r="K51" s="14"/>
    </row>
    <row r="52" spans="1:25" s="16" customFormat="1" ht="11.25" x14ac:dyDescent="0.2">
      <c r="B52" s="14"/>
      <c r="C52" s="14"/>
      <c r="D52" s="14"/>
      <c r="E52" s="14"/>
      <c r="F52" s="31"/>
      <c r="G52" s="14"/>
      <c r="H52" s="14"/>
      <c r="I52" s="14"/>
      <c r="J52" s="14"/>
      <c r="K52" s="14"/>
    </row>
    <row r="53" spans="1:25" s="16" customFormat="1" ht="12" thickBot="1" x14ac:dyDescent="0.25">
      <c r="B53" s="14"/>
      <c r="C53" s="14"/>
      <c r="D53" s="14"/>
      <c r="E53" s="14"/>
      <c r="F53" s="31" t="str">
        <f>$K$10&amp;"/"&amp;$K$22&amp;" Monthly True-up Charge"</f>
        <v>2015/2016 Monthly True-up Charge</v>
      </c>
      <c r="G53" s="38">
        <f>ROUND(G51/G50,3)</f>
        <v>7.5999999999999998E-2</v>
      </c>
      <c r="H53" s="14"/>
      <c r="I53" s="24">
        <f>+G53</f>
        <v>7.5999999999999998E-2</v>
      </c>
      <c r="J53" s="14"/>
      <c r="K53" s="14"/>
    </row>
    <row r="54" spans="1:25" s="16" customFormat="1" ht="12" thickTop="1" x14ac:dyDescent="0.2">
      <c r="B54" s="14"/>
      <c r="C54" s="14"/>
      <c r="D54" s="14"/>
      <c r="E54" s="14"/>
      <c r="F54" s="31"/>
      <c r="G54" s="14"/>
      <c r="H54" s="14"/>
      <c r="I54" s="24"/>
      <c r="J54" s="14"/>
      <c r="K54" s="14"/>
      <c r="Y54" s="14"/>
    </row>
    <row r="55" spans="1:25" s="16" customFormat="1" ht="11.25" x14ac:dyDescent="0.2">
      <c r="B55" s="14" t="str">
        <f>$K$22&amp;"/"&amp;$K$22+1&amp;" Projected Credit at 50% Retention"</f>
        <v>2016/2017 Projected Credit at 50% Retention</v>
      </c>
      <c r="C55" s="14"/>
      <c r="D55" s="14"/>
      <c r="E55" s="14"/>
      <c r="F55" s="31"/>
      <c r="G55" s="14"/>
      <c r="H55" s="14"/>
      <c r="I55" s="24"/>
      <c r="J55" s="14"/>
      <c r="K55" s="14"/>
      <c r="N55" s="125" t="s">
        <v>67</v>
      </c>
    </row>
    <row r="56" spans="1:25" s="16" customFormat="1" ht="12" thickBot="1" x14ac:dyDescent="0.25">
      <c r="B56" s="30"/>
      <c r="C56" s="14"/>
      <c r="D56" s="14"/>
      <c r="E56" s="14"/>
      <c r="F56" s="31" t="s">
        <v>54</v>
      </c>
      <c r="G56" s="303">
        <f>+F26/[20]Value!$P$18*N56</f>
        <v>0.92739345251996108</v>
      </c>
      <c r="H56" s="14"/>
      <c r="I56" s="24">
        <f>+G56</f>
        <v>0.92739345251996108</v>
      </c>
      <c r="J56" s="22" t="s">
        <v>12</v>
      </c>
      <c r="K56" s="14"/>
      <c r="N56" s="126">
        <f>+'[11]WUTC_AW of Kent_MF'!$O$56</f>
        <v>0.5</v>
      </c>
    </row>
    <row r="57" spans="1:25" s="14" customFormat="1" ht="12" thickTop="1" x14ac:dyDescent="0.2">
      <c r="B57" s="30"/>
      <c r="I57" s="24"/>
      <c r="X57" s="16"/>
      <c r="Y57" s="16"/>
    </row>
    <row r="58" spans="1:25" s="16" customFormat="1" ht="12" thickBot="1" x14ac:dyDescent="0.25">
      <c r="B58" s="14"/>
      <c r="C58" s="14"/>
      <c r="D58" s="14"/>
      <c r="E58" s="14"/>
      <c r="F58" s="14"/>
      <c r="G58" s="31" t="str">
        <f>$K$22&amp;"/"&amp;$K$22+1&amp;" Adjusted Credit"</f>
        <v>2016/2017 Adjusted Credit</v>
      </c>
      <c r="H58" s="27"/>
      <c r="I58" s="38">
        <f>+I53+I56</f>
        <v>1.003393452519961</v>
      </c>
      <c r="J58" s="14"/>
      <c r="K58" s="14"/>
    </row>
    <row r="59" spans="1:25" s="16" customFormat="1" ht="12" thickTop="1" x14ac:dyDescent="0.2">
      <c r="I59" s="24"/>
    </row>
    <row r="60" spans="1:25" s="16" customFormat="1" ht="11.25" x14ac:dyDescent="0.2"/>
    <row r="61" spans="1:25" s="16" customFormat="1" ht="11.25" x14ac:dyDescent="0.2"/>
    <row r="62" spans="1:25" s="16" customFormat="1" ht="11.25" x14ac:dyDescent="0.2"/>
    <row r="63" spans="1:25" s="16" customFormat="1" ht="11.25" x14ac:dyDescent="0.2">
      <c r="G63" s="109" t="s">
        <v>56</v>
      </c>
      <c r="I63" s="73">
        <v>80370.820000000007</v>
      </c>
    </row>
    <row r="64" spans="1:25" s="16" customFormat="1" ht="11.25" x14ac:dyDescent="0.2">
      <c r="A64" s="39"/>
      <c r="B64" s="39"/>
      <c r="C64" s="39"/>
      <c r="D64" s="39"/>
      <c r="E64" s="39"/>
      <c r="F64" s="39"/>
    </row>
    <row r="65" spans="1:27" s="16" customFormat="1" ht="11.25" x14ac:dyDescent="0.2">
      <c r="A65" s="40"/>
      <c r="B65" s="42"/>
      <c r="C65" s="41"/>
      <c r="D65" s="39"/>
      <c r="E65" s="39"/>
      <c r="F65" s="39"/>
      <c r="G65" s="109" t="s">
        <v>57</v>
      </c>
      <c r="I65" s="302">
        <f>I63/(B22*12)</f>
        <v>0.33141512857307803</v>
      </c>
    </row>
    <row r="66" spans="1:27" s="16" customFormat="1" ht="11.25" x14ac:dyDescent="0.2">
      <c r="A66" s="40"/>
      <c r="B66" s="42"/>
      <c r="C66" s="42"/>
      <c r="D66" s="39"/>
      <c r="E66" s="39"/>
      <c r="F66" s="39"/>
    </row>
    <row r="67" spans="1:27" s="16" customFormat="1" ht="12" thickBot="1" x14ac:dyDescent="0.25">
      <c r="A67" s="40"/>
      <c r="B67" s="43"/>
      <c r="C67" s="42"/>
      <c r="D67" s="39"/>
      <c r="E67" s="39"/>
      <c r="F67" s="39"/>
      <c r="G67" s="31" t="str">
        <f>$K$22+1&amp;" Net Credit"</f>
        <v>2017 Net Credit</v>
      </c>
      <c r="H67" s="27"/>
      <c r="I67" s="301">
        <f>+I58+I65</f>
        <v>1.334808581093039</v>
      </c>
    </row>
    <row r="68" spans="1:27" s="16" customFormat="1" ht="12" thickTop="1" x14ac:dyDescent="0.2">
      <c r="A68" s="40"/>
      <c r="B68" s="43"/>
      <c r="C68" s="42"/>
      <c r="D68" s="39"/>
      <c r="E68" s="39"/>
      <c r="F68" s="39"/>
    </row>
    <row r="69" spans="1:27" s="16" customFormat="1" ht="11.25" x14ac:dyDescent="0.2">
      <c r="A69" s="40"/>
      <c r="B69" s="43"/>
      <c r="C69" s="42"/>
      <c r="D69" s="39"/>
      <c r="E69" s="39"/>
      <c r="F69" s="39"/>
    </row>
    <row r="70" spans="1:27" s="16" customFormat="1" ht="11.25" x14ac:dyDescent="0.2">
      <c r="A70" s="40"/>
      <c r="B70" s="43"/>
      <c r="C70" s="42"/>
      <c r="D70" s="39"/>
      <c r="E70" s="39"/>
      <c r="F70" s="39"/>
      <c r="Y70" s="14"/>
    </row>
    <row r="71" spans="1:27" s="16" customFormat="1" ht="11.25" x14ac:dyDescent="0.2">
      <c r="A71" s="40"/>
      <c r="B71" s="43"/>
      <c r="C71" s="42"/>
      <c r="D71" s="39"/>
      <c r="E71" s="39"/>
      <c r="F71" s="39"/>
    </row>
    <row r="72" spans="1:27" s="16" customFormat="1" ht="11.25" x14ac:dyDescent="0.2">
      <c r="A72" s="40"/>
      <c r="B72" s="43"/>
      <c r="C72" s="42"/>
      <c r="D72" s="39"/>
      <c r="E72" s="39"/>
      <c r="F72" s="39"/>
    </row>
    <row r="73" spans="1:27" s="16" customFormat="1" ht="11.25" x14ac:dyDescent="0.2">
      <c r="A73" s="40"/>
      <c r="B73" s="43"/>
      <c r="C73" s="42"/>
      <c r="D73" s="39"/>
      <c r="E73" s="39"/>
      <c r="F73" s="39"/>
    </row>
    <row r="74" spans="1:27" s="16" customFormat="1" ht="11.25" x14ac:dyDescent="0.2">
      <c r="A74" s="40"/>
      <c r="B74" s="43"/>
      <c r="C74" s="42"/>
      <c r="D74" s="39"/>
      <c r="E74" s="44"/>
      <c r="F74" s="39"/>
      <c r="G74" s="14"/>
      <c r="H74" s="13"/>
      <c r="I74" s="14"/>
      <c r="J74" s="14"/>
      <c r="K74" s="13"/>
      <c r="L74" s="14"/>
      <c r="M74" s="14"/>
      <c r="N74" s="14"/>
      <c r="O74" s="14"/>
      <c r="P74" s="14"/>
      <c r="Q74" s="14"/>
      <c r="R74" s="14"/>
      <c r="S74" s="14"/>
      <c r="T74" s="14"/>
      <c r="U74" s="14"/>
      <c r="V74" s="13"/>
      <c r="W74" s="14"/>
      <c r="AA74" s="14"/>
    </row>
    <row r="75" spans="1:27" s="16" customFormat="1" ht="11.25" x14ac:dyDescent="0.2">
      <c r="A75" s="40"/>
      <c r="B75" s="43"/>
      <c r="C75" s="42"/>
      <c r="D75" s="39"/>
      <c r="E75" s="39"/>
      <c r="F75" s="39"/>
    </row>
    <row r="76" spans="1:27" s="16" customFormat="1" ht="11.25" x14ac:dyDescent="0.2">
      <c r="A76" s="40"/>
      <c r="B76" s="42"/>
      <c r="C76" s="42"/>
      <c r="D76" s="39"/>
      <c r="E76" s="39"/>
      <c r="F76" s="39"/>
    </row>
    <row r="77" spans="1:27" s="16" customFormat="1" ht="11.25" x14ac:dyDescent="0.2">
      <c r="A77" s="40"/>
      <c r="B77" s="42"/>
      <c r="C77" s="41"/>
      <c r="D77" s="39"/>
      <c r="E77" s="39"/>
      <c r="F77" s="39"/>
    </row>
    <row r="78" spans="1:27" s="16" customFormat="1" x14ac:dyDescent="0.2">
      <c r="A78" s="45"/>
      <c r="B78" s="45"/>
      <c r="C78" s="45"/>
      <c r="D78" s="46"/>
      <c r="E78" s="39"/>
      <c r="F78" s="45"/>
    </row>
    <row r="79" spans="1:27" s="16" customFormat="1" ht="11.25" x14ac:dyDescent="0.2">
      <c r="A79" s="47"/>
      <c r="B79" s="42"/>
      <c r="C79" s="41"/>
      <c r="D79" s="39"/>
      <c r="E79" s="39"/>
      <c r="F79" s="48"/>
      <c r="Y79" s="14"/>
    </row>
    <row r="80" spans="1:27" s="16" customFormat="1" ht="11.25" x14ac:dyDescent="0.2"/>
    <row r="81" spans="1:27" s="16" customFormat="1" ht="11.25" x14ac:dyDescent="0.2"/>
    <row r="82" spans="1:27" s="16" customFormat="1" ht="11.25" x14ac:dyDescent="0.2"/>
    <row r="83" spans="1:27" s="16" customFormat="1" ht="11.25" x14ac:dyDescent="0.2">
      <c r="B83" s="8"/>
    </row>
    <row r="84" spans="1:27" s="14" customFormat="1" ht="11.25" x14ac:dyDescent="0.2">
      <c r="B84" s="30"/>
      <c r="X84" s="16"/>
      <c r="Y84" s="16"/>
    </row>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row r="92" spans="1:27" s="16" customFormat="1" ht="11.25" x14ac:dyDescent="0.2"/>
    <row r="93" spans="1:27" s="16" customFormat="1" ht="11.25" x14ac:dyDescent="0.2">
      <c r="A93" s="6"/>
    </row>
    <row r="94" spans="1:27" s="16" customFormat="1" x14ac:dyDescent="0.2">
      <c r="AA94" s="5"/>
    </row>
    <row r="95" spans="1:27" s="16" customFormat="1" x14ac:dyDescent="0.2">
      <c r="AA95" s="5"/>
    </row>
    <row r="96" spans="1:27" s="16" customFormat="1" x14ac:dyDescent="0.2">
      <c r="AA96" s="5"/>
    </row>
    <row r="97" spans="7:27" s="16" customFormat="1" x14ac:dyDescent="0.2">
      <c r="AA97" s="5"/>
    </row>
    <row r="98" spans="7:27" s="16" customFormat="1" x14ac:dyDescent="0.2">
      <c r="G98" s="49"/>
      <c r="I98" s="49"/>
      <c r="J98" s="49"/>
      <c r="L98" s="49"/>
      <c r="M98" s="49"/>
      <c r="N98" s="49"/>
      <c r="O98" s="49"/>
      <c r="P98" s="49"/>
      <c r="Q98" s="49"/>
      <c r="R98" s="49"/>
      <c r="S98" s="49"/>
      <c r="T98" s="49"/>
      <c r="U98" s="49"/>
      <c r="V98" s="49"/>
      <c r="W98" s="49"/>
      <c r="X98" s="49"/>
      <c r="Y98" s="49"/>
      <c r="AA98" s="5"/>
    </row>
    <row r="99" spans="7:27" s="16" customFormat="1" x14ac:dyDescent="0.2">
      <c r="AA99" s="5"/>
    </row>
    <row r="100" spans="7:27" s="16" customFormat="1" ht="13.5" thickBot="1" x14ac:dyDescent="0.25">
      <c r="G100" s="50"/>
      <c r="I100" s="50"/>
      <c r="J100" s="50"/>
      <c r="L100" s="50"/>
      <c r="M100" s="50"/>
      <c r="N100" s="50"/>
      <c r="O100" s="50"/>
      <c r="P100" s="50"/>
      <c r="Q100" s="50"/>
      <c r="R100" s="50"/>
      <c r="S100" s="50"/>
      <c r="T100" s="50"/>
      <c r="U100" s="50"/>
      <c r="V100" s="50"/>
      <c r="W100" s="50"/>
      <c r="X100" s="50"/>
      <c r="Y100" s="50"/>
      <c r="AA100" s="5"/>
    </row>
    <row r="101" spans="7:27" ht="13.5" thickTop="1" x14ac:dyDescent="0.2"/>
    <row r="102" spans="7:27" x14ac:dyDescent="0.2">
      <c r="W102" s="51"/>
      <c r="X102" s="51"/>
      <c r="Y102" s="51"/>
    </row>
    <row r="103" spans="7:27" x14ac:dyDescent="0.2">
      <c r="W103" s="51"/>
      <c r="AA103" s="51"/>
    </row>
  </sheetData>
  <printOptions horizontalCentered="1"/>
  <pageMargins left="0" right="0" top="0.52" bottom="0.44" header="0" footer="0"/>
  <pageSetup scale="56" orientation="portrait" horizontalDpi="4294967292" verticalDpi="4294967292" r:id="rId1"/>
  <headerFooter alignWithMargins="0">
    <oddFooter>&amp;R&amp;"Helv,Regular"&amp;6\\SERVER1\PUBLIC\EXCEL&amp;F,&amp;A</oddFooter>
  </headerFooter>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120"/>
  <sheetViews>
    <sheetView showGridLines="0" topLeftCell="E4" zoomScaleNormal="100" workbookViewId="0">
      <selection activeCell="P28" sqref="P28"/>
    </sheetView>
  </sheetViews>
  <sheetFormatPr defaultRowHeight="12.75" x14ac:dyDescent="0.2"/>
  <cols>
    <col min="1" max="1" width="9.140625" style="186"/>
    <col min="2" max="2" width="6.5703125" style="186" customWidth="1"/>
    <col min="3" max="3" width="8.7109375" style="186" bestFit="1" customWidth="1"/>
    <col min="4" max="4" width="9" style="186" bestFit="1" customWidth="1"/>
    <col min="5" max="5" width="12" style="186" bestFit="1" customWidth="1"/>
    <col min="6" max="10" width="9.140625" style="186"/>
    <col min="11" max="12" width="9" style="186" bestFit="1" customWidth="1"/>
    <col min="13" max="13" width="8.7109375" style="186" bestFit="1" customWidth="1"/>
    <col min="14" max="14" width="3.7109375" style="304" customWidth="1"/>
    <col min="15" max="15" width="9.140625" style="186"/>
    <col min="16" max="16" width="14.5703125" style="186" bestFit="1" customWidth="1"/>
    <col min="17" max="17" width="11.28515625" style="186" bestFit="1" customWidth="1"/>
    <col min="18" max="16384" width="9.140625" style="186"/>
  </cols>
  <sheetData>
    <row r="1" spans="1:18" x14ac:dyDescent="0.2">
      <c r="A1" s="320" t="str">
        <f>"Commodity Value Timeframe:  "&amp;TEXT(A7,"mmmm")&amp;" - "&amp;TEXT(A18,"mmmm")</f>
        <v>Commodity Value Timeframe:  May - April</v>
      </c>
      <c r="B1" s="319"/>
    </row>
    <row r="2" spans="1:18" x14ac:dyDescent="0.2">
      <c r="A2" s="318" t="str">
        <f>'WUTC_KENT_SF (2)'!A1</f>
        <v>Kent-Meridian Disposal</v>
      </c>
      <c r="B2" s="318"/>
    </row>
    <row r="3" spans="1:18" x14ac:dyDescent="0.2">
      <c r="A3" s="318"/>
      <c r="B3" s="318"/>
    </row>
    <row r="4" spans="1:18" x14ac:dyDescent="0.2">
      <c r="B4" s="314"/>
      <c r="C4" s="316" t="s">
        <v>21</v>
      </c>
      <c r="D4" s="316" t="s">
        <v>22</v>
      </c>
      <c r="E4" s="316" t="s">
        <v>55</v>
      </c>
      <c r="F4" s="316" t="s">
        <v>23</v>
      </c>
      <c r="G4" s="316" t="s">
        <v>24</v>
      </c>
      <c r="H4" s="316" t="s">
        <v>25</v>
      </c>
      <c r="I4" s="316" t="s">
        <v>26</v>
      </c>
      <c r="J4" s="316" t="s">
        <v>27</v>
      </c>
      <c r="K4" s="316" t="s">
        <v>28</v>
      </c>
      <c r="L4" s="316" t="s">
        <v>29</v>
      </c>
      <c r="M4" s="316" t="s">
        <v>30</v>
      </c>
      <c r="N4" s="186"/>
      <c r="O4" s="317"/>
    </row>
    <row r="5" spans="1:18" x14ac:dyDescent="0.2">
      <c r="B5" s="314"/>
      <c r="C5" s="314"/>
      <c r="D5" s="314"/>
      <c r="E5" s="314"/>
      <c r="F5" s="314"/>
      <c r="G5" s="314"/>
      <c r="H5" s="314"/>
      <c r="I5" s="314"/>
      <c r="J5" s="314"/>
      <c r="K5" s="314"/>
      <c r="L5" s="314"/>
      <c r="M5" s="314"/>
      <c r="N5" s="186"/>
      <c r="O5" s="317" t="str">
        <f>+TEXT(P20,"00.0%")&amp;" of"</f>
        <v>50.0% of</v>
      </c>
    </row>
    <row r="6" spans="1:18" x14ac:dyDescent="0.2">
      <c r="B6" s="314"/>
      <c r="C6" s="314"/>
      <c r="D6" s="314"/>
      <c r="E6" s="314"/>
      <c r="F6" s="314"/>
      <c r="G6" s="314"/>
      <c r="H6" s="314"/>
      <c r="I6" s="314"/>
      <c r="J6" s="314"/>
      <c r="K6" s="314"/>
      <c r="L6" s="314"/>
      <c r="M6" s="314"/>
      <c r="N6" s="186"/>
      <c r="O6" s="317" t="s">
        <v>30</v>
      </c>
      <c r="P6" s="316" t="s">
        <v>68</v>
      </c>
      <c r="Q6" s="315" t="s">
        <v>76</v>
      </c>
    </row>
    <row r="7" spans="1:18" x14ac:dyDescent="0.2">
      <c r="A7" s="313">
        <f>+'Pricing (2)'!A7</f>
        <v>42491</v>
      </c>
      <c r="B7" s="314"/>
      <c r="C7" s="311">
        <f>'Commodity Tonnages (2)'!C7*'Pricing (2)'!C7</f>
        <v>3392.2381499999997</v>
      </c>
      <c r="D7" s="311">
        <f>'Commodity Tonnages (2)'!D7*'Pricing (2)'!D7</f>
        <v>-220.45863840000001</v>
      </c>
      <c r="E7" s="311">
        <f>'Commodity Tonnages (2)'!E7*'Pricing (2)'!E7</f>
        <v>0</v>
      </c>
      <c r="F7" s="311">
        <f>'Commodity Tonnages (2)'!F7*'Pricing (2)'!F7</f>
        <v>691.39594754999996</v>
      </c>
      <c r="G7" s="311">
        <f>'Commodity Tonnages (2)'!G7*'Pricing (2)'!G7</f>
        <v>7985.3626125000001</v>
      </c>
      <c r="H7" s="311">
        <f>'Commodity Tonnages (2)'!H7*'Pricing (2)'!H7</f>
        <v>12654.427866359989</v>
      </c>
      <c r="I7" s="311">
        <f>'Commodity Tonnages (2)'!I7*'Pricing (2)'!I7</f>
        <v>1702.5294699000001</v>
      </c>
      <c r="J7" s="311">
        <f>'Commodity Tonnages (2)'!J7*'Pricing (2)'!J7</f>
        <v>1702.5294699000001</v>
      </c>
      <c r="K7" s="311">
        <f>'Commodity Tonnages (2)'!K7*'Pricing (2)'!K7</f>
        <v>8867.9736684</v>
      </c>
      <c r="L7" s="311">
        <f>'Commodity Tonnages (2)'!L7*'Pricing (2)'!L7</f>
        <v>-4038.9914499900087</v>
      </c>
      <c r="M7" s="307">
        <f t="shared" ref="M7:M18" si="0">SUM(C7:L7)</f>
        <v>32737.007096219986</v>
      </c>
      <c r="N7" s="186"/>
      <c r="O7" s="139">
        <f t="shared" ref="O7:O18" si="1">M7-Q7</f>
        <v>16368.111896219987</v>
      </c>
      <c r="P7" s="112">
        <f t="shared" ref="P7:P18" si="2">IFERROR(O7/M7,0)</f>
        <v>0.49998803641735318</v>
      </c>
      <c r="Q7" s="312">
        <v>16368.895199999999</v>
      </c>
      <c r="R7" s="68"/>
    </row>
    <row r="8" spans="1:18" x14ac:dyDescent="0.2">
      <c r="A8" s="313">
        <f>+'Pricing (2)'!A8</f>
        <v>42551</v>
      </c>
      <c r="B8" s="314"/>
      <c r="C8" s="311">
        <f>'Commodity Tonnages (2)'!C8*'Pricing (2)'!C8</f>
        <v>3558.5227275000002</v>
      </c>
      <c r="D8" s="311">
        <f>'Commodity Tonnages (2)'!D8*'Pricing (2)'!D8</f>
        <v>-841.34012247999988</v>
      </c>
      <c r="E8" s="311">
        <f>'Commodity Tonnages (2)'!E8*'Pricing (2)'!E8</f>
        <v>0</v>
      </c>
      <c r="F8" s="311">
        <f>'Commodity Tonnages (2)'!F8*'Pricing (2)'!F8</f>
        <v>652.47961350000003</v>
      </c>
      <c r="G8" s="311">
        <f>'Commodity Tonnages (2)'!G8*'Pricing (2)'!G8</f>
        <v>8986.0124834999988</v>
      </c>
      <c r="H8" s="311">
        <f>'Commodity Tonnages (2)'!H8*'Pricing (2)'!H8</f>
        <v>14111.586697259992</v>
      </c>
      <c r="I8" s="311">
        <f>'Commodity Tonnages (2)'!I8*'Pricing (2)'!I8</f>
        <v>1770.7477797749998</v>
      </c>
      <c r="J8" s="311">
        <f>'Commodity Tonnages (2)'!J8*'Pricing (2)'!J8</f>
        <v>1770.7477797749998</v>
      </c>
      <c r="K8" s="311">
        <f>'Commodity Tonnages (2)'!K8*'Pricing (2)'!K8</f>
        <v>9811.2022351199994</v>
      </c>
      <c r="L8" s="311">
        <f>'Commodity Tonnages (2)'!L8*'Pricing (2)'!L8</f>
        <v>-4341.99241411001</v>
      </c>
      <c r="M8" s="307">
        <f t="shared" si="0"/>
        <v>35477.966779839975</v>
      </c>
      <c r="N8" s="186"/>
      <c r="O8" s="139">
        <f t="shared" si="1"/>
        <v>17740.952679839978</v>
      </c>
      <c r="P8" s="112">
        <f t="shared" si="2"/>
        <v>0.50005550740639149</v>
      </c>
      <c r="Q8" s="312">
        <v>17737.014099999997</v>
      </c>
      <c r="R8" s="68"/>
    </row>
    <row r="9" spans="1:18" x14ac:dyDescent="0.2">
      <c r="A9" s="313">
        <f>+'Pricing (2)'!A9</f>
        <v>42582</v>
      </c>
      <c r="B9" s="305"/>
      <c r="C9" s="311">
        <f>'Commodity Tonnages (2)'!C9*'Pricing (2)'!C9</f>
        <v>3251.0457000000001</v>
      </c>
      <c r="D9" s="311">
        <f>'Commodity Tonnages (2)'!D9*'Pricing (2)'!D9</f>
        <v>-792.02446751999992</v>
      </c>
      <c r="E9" s="311">
        <f>'Commodity Tonnages (2)'!E9*'Pricing (2)'!E9</f>
        <v>0</v>
      </c>
      <c r="F9" s="311">
        <f>'Commodity Tonnages (2)'!F9*'Pricing (2)'!F9</f>
        <v>536.9288166</v>
      </c>
      <c r="G9" s="311">
        <f>'Commodity Tonnages (2)'!G9*'Pricing (2)'!G9</f>
        <v>9094.5597600000001</v>
      </c>
      <c r="H9" s="311">
        <f>'Commodity Tonnages (2)'!H9*'Pricing (2)'!H9</f>
        <v>14033.530535279995</v>
      </c>
      <c r="I9" s="311">
        <f>'Commodity Tonnages (2)'!I9*'Pricing (2)'!I9</f>
        <v>1683.40541046</v>
      </c>
      <c r="J9" s="311">
        <f>'Commodity Tonnages (2)'!J9*'Pricing (2)'!J9</f>
        <v>1683.40541046</v>
      </c>
      <c r="K9" s="311">
        <f>'Commodity Tonnages (2)'!K9*'Pricing (2)'!K9</f>
        <v>10092.531208319999</v>
      </c>
      <c r="L9" s="311">
        <f>'Commodity Tonnages (2)'!L9*'Pricing (2)'!L9</f>
        <v>-3975.4980682800087</v>
      </c>
      <c r="M9" s="307">
        <f t="shared" si="0"/>
        <v>35607.884305319982</v>
      </c>
      <c r="N9" s="307"/>
      <c r="O9" s="139">
        <f t="shared" si="1"/>
        <v>17805.933505319983</v>
      </c>
      <c r="P9" s="112">
        <f t="shared" si="2"/>
        <v>0.50005592448691749</v>
      </c>
      <c r="Q9" s="312">
        <v>17801.950799999999</v>
      </c>
      <c r="R9" s="68"/>
    </row>
    <row r="10" spans="1:18" x14ac:dyDescent="0.2">
      <c r="A10" s="313">
        <f>+'Pricing (2)'!A10</f>
        <v>42613</v>
      </c>
      <c r="B10" s="305"/>
      <c r="C10" s="311">
        <f>'Commodity Tonnages (2)'!C10*'Pricing (2)'!C10</f>
        <v>3901.3821000000003</v>
      </c>
      <c r="D10" s="311">
        <f>'Commodity Tonnages (2)'!D10*'Pricing (2)'!D10</f>
        <v>-175.17824896000002</v>
      </c>
      <c r="E10" s="311">
        <f>'Commodity Tonnages (2)'!E10*'Pricing (2)'!E10</f>
        <v>0</v>
      </c>
      <c r="F10" s="311">
        <f>'Commodity Tonnages (2)'!F10*'Pricing (2)'!F10</f>
        <v>637.27463250000005</v>
      </c>
      <c r="G10" s="311">
        <f>'Commodity Tonnages (2)'!G10*'Pricing (2)'!G10</f>
        <v>11868.512799</v>
      </c>
      <c r="H10" s="311">
        <f>'Commodity Tonnages (2)'!H10*'Pricing (2)'!H10</f>
        <v>18348.454893559992</v>
      </c>
      <c r="I10" s="311">
        <f>'Commodity Tonnages (2)'!I10*'Pricing (2)'!I10</f>
        <v>1908.5997979399999</v>
      </c>
      <c r="J10" s="311">
        <f>'Commodity Tonnages (2)'!J10*'Pricing (2)'!J10</f>
        <v>1908.5997979399999</v>
      </c>
      <c r="K10" s="311">
        <f>'Commodity Tonnages (2)'!K10*'Pricing (2)'!K10</f>
        <v>12866.042423520001</v>
      </c>
      <c r="L10" s="311">
        <f>'Commodity Tonnages (2)'!L10*'Pricing (2)'!L10</f>
        <v>-4645.2071606600102</v>
      </c>
      <c r="M10" s="307">
        <f t="shared" si="0"/>
        <v>46618.481034839977</v>
      </c>
      <c r="N10" s="307"/>
      <c r="O10" s="139">
        <f t="shared" si="1"/>
        <v>23307.967434839979</v>
      </c>
      <c r="P10" s="112">
        <f t="shared" si="2"/>
        <v>0.49997269146158885</v>
      </c>
      <c r="Q10" s="312">
        <v>23310.513599999998</v>
      </c>
      <c r="R10" s="68"/>
    </row>
    <row r="11" spans="1:18" x14ac:dyDescent="0.2">
      <c r="A11" s="313">
        <f>+'Pricing (2)'!A11</f>
        <v>42643</v>
      </c>
      <c r="B11" s="305"/>
      <c r="C11" s="311">
        <f>'Commodity Tonnages (2)'!C11*'Pricing (2)'!C11</f>
        <v>3325.8455999999996</v>
      </c>
      <c r="D11" s="311">
        <f>'Commodity Tonnages (2)'!D11*'Pricing (2)'!D11</f>
        <v>-591.00955056000009</v>
      </c>
      <c r="E11" s="311">
        <f>'Commodity Tonnages (2)'!E11*'Pricing (2)'!E11</f>
        <v>0</v>
      </c>
      <c r="F11" s="311">
        <f>'Commodity Tonnages (2)'!F11*'Pricing (2)'!F11</f>
        <v>553.33756169999992</v>
      </c>
      <c r="G11" s="311">
        <f>'Commodity Tonnages (2)'!G11*'Pricing (2)'!G11</f>
        <v>9999.4262940000008</v>
      </c>
      <c r="H11" s="311">
        <f>'Commodity Tonnages (2)'!H11*'Pricing (2)'!H11</f>
        <v>14162.705109959994</v>
      </c>
      <c r="I11" s="311">
        <f>'Commodity Tonnages (2)'!I11*'Pricing (2)'!I11</f>
        <v>1408.09996041</v>
      </c>
      <c r="J11" s="311">
        <f>'Commodity Tonnages (2)'!J11*'Pricing (2)'!J11</f>
        <v>1408.09996041</v>
      </c>
      <c r="K11" s="311">
        <f>'Commodity Tonnages (2)'!K11*'Pricing (2)'!K11</f>
        <v>10065.237312239999</v>
      </c>
      <c r="L11" s="311">
        <f>'Commodity Tonnages (2)'!L11*'Pricing (2)'!L11</f>
        <v>-4030.6539352200084</v>
      </c>
      <c r="M11" s="307">
        <f t="shared" si="0"/>
        <v>36301.088312939988</v>
      </c>
      <c r="N11" s="307"/>
      <c r="O11" s="139">
        <f t="shared" si="1"/>
        <v>18150.342512939988</v>
      </c>
      <c r="P11" s="112">
        <f t="shared" si="2"/>
        <v>0.4999944452483554</v>
      </c>
      <c r="Q11" s="312">
        <v>18150.745800000001</v>
      </c>
      <c r="R11" s="68"/>
    </row>
    <row r="12" spans="1:18" x14ac:dyDescent="0.2">
      <c r="A12" s="313">
        <f>+'Pricing (2)'!A12</f>
        <v>42674</v>
      </c>
      <c r="B12" s="305"/>
      <c r="C12" s="311">
        <f>'Commodity Tonnages (2)'!C12*'Pricing (2)'!C12</f>
        <v>3349.8044999999993</v>
      </c>
      <c r="D12" s="311">
        <f>'Commodity Tonnages (2)'!D12*'Pricing (2)'!D12</f>
        <v>-652.53971639999997</v>
      </c>
      <c r="E12" s="311">
        <f>'Commodity Tonnages (2)'!E12*'Pricing (2)'!E12</f>
        <v>0</v>
      </c>
      <c r="F12" s="311">
        <f>'Commodity Tonnages (2)'!F12*'Pricing (2)'!F12</f>
        <v>476.2266894</v>
      </c>
      <c r="G12" s="311">
        <f>'Commodity Tonnages (2)'!G12*'Pricing (2)'!G12</f>
        <v>9489.2700824999993</v>
      </c>
      <c r="H12" s="311">
        <f>'Commodity Tonnages (2)'!H12*'Pricing (2)'!H12</f>
        <v>13526.80539779999</v>
      </c>
      <c r="I12" s="311">
        <f>'Commodity Tonnages (2)'!I12*'Pricing (2)'!I12</f>
        <v>1242.888854625</v>
      </c>
      <c r="J12" s="311">
        <f>'Commodity Tonnages (2)'!J12*'Pricing (2)'!J12</f>
        <v>1242.888854625</v>
      </c>
      <c r="K12" s="311">
        <f>'Commodity Tonnages (2)'!K12*'Pricing (2)'!K12</f>
        <v>10158.679832399999</v>
      </c>
      <c r="L12" s="311">
        <f>'Commodity Tonnages (2)'!L12*'Pricing (2)'!L12</f>
        <v>-3919.7008540500083</v>
      </c>
      <c r="M12" s="307">
        <f t="shared" si="0"/>
        <v>34914.32364089998</v>
      </c>
      <c r="N12" s="307"/>
      <c r="O12" s="139">
        <f t="shared" si="1"/>
        <v>17455.736640899984</v>
      </c>
      <c r="P12" s="112">
        <f t="shared" si="2"/>
        <v>0.49995918066279432</v>
      </c>
      <c r="Q12" s="312">
        <v>17458.586999999996</v>
      </c>
      <c r="R12" s="68"/>
    </row>
    <row r="13" spans="1:18" x14ac:dyDescent="0.2">
      <c r="A13" s="313">
        <f>+'Pricing (2)'!A13</f>
        <v>42704</v>
      </c>
      <c r="B13" s="305"/>
      <c r="C13" s="311">
        <f>'Commodity Tonnages (2)'!C13*'Pricing (2)'!C13</f>
        <v>3383.4556642499997</v>
      </c>
      <c r="D13" s="311">
        <f>'Commodity Tonnages (2)'!D13*'Pricing (2)'!D13</f>
        <v>-1558.01913072</v>
      </c>
      <c r="E13" s="311">
        <f>'Commodity Tonnages (2)'!E13*'Pricing (2)'!E13</f>
        <v>0</v>
      </c>
      <c r="F13" s="311">
        <f>'Commodity Tonnages (2)'!F13*'Pricing (2)'!F13</f>
        <v>587.33528584499993</v>
      </c>
      <c r="G13" s="311">
        <f>'Commodity Tonnages (2)'!G13*'Pricing (2)'!G13</f>
        <v>9614.2254389999998</v>
      </c>
      <c r="H13" s="311">
        <f>'Commodity Tonnages (2)'!H13*'Pricing (2)'!H13</f>
        <v>14159.941073219992</v>
      </c>
      <c r="I13" s="311">
        <f>'Commodity Tonnages (2)'!I13*'Pricing (2)'!I13</f>
        <v>1296.835342545</v>
      </c>
      <c r="J13" s="311">
        <f>'Commodity Tonnages (2)'!J13*'Pricing (2)'!J13</f>
        <v>1296.835342545</v>
      </c>
      <c r="K13" s="311">
        <f>'Commodity Tonnages (2)'!K13*'Pricing (2)'!K13</f>
        <v>10634.983947719998</v>
      </c>
      <c r="L13" s="311">
        <f>'Commodity Tonnages (2)'!L13*'Pricing (2)'!L13</f>
        <v>-3843.166744110008</v>
      </c>
      <c r="M13" s="307">
        <f t="shared" si="0"/>
        <v>35572.426220294983</v>
      </c>
      <c r="N13" s="307"/>
      <c r="O13" s="139">
        <f t="shared" si="1"/>
        <v>17785.982420294986</v>
      </c>
      <c r="P13" s="112">
        <f t="shared" si="2"/>
        <v>0.49999351492498495</v>
      </c>
      <c r="Q13" s="312">
        <v>17786.443799999997</v>
      </c>
      <c r="R13" s="68"/>
    </row>
    <row r="14" spans="1:18" x14ac:dyDescent="0.2">
      <c r="A14" s="313">
        <f>+'Pricing (2)'!A14</f>
        <v>42735</v>
      </c>
      <c r="B14" s="305"/>
      <c r="C14" s="311">
        <f>'Commodity Tonnages (2)'!C14*'Pricing (2)'!C14</f>
        <v>3151.4655301499997</v>
      </c>
      <c r="D14" s="311">
        <f>'Commodity Tonnages (2)'!D14*'Pricing (2)'!D14</f>
        <v>-1695.59895024</v>
      </c>
      <c r="E14" s="311">
        <f>'Commodity Tonnages (2)'!E14*'Pricing (2)'!E14</f>
        <v>0</v>
      </c>
      <c r="F14" s="311">
        <f>'Commodity Tonnages (2)'!F14*'Pricing (2)'!F14</f>
        <v>542.2737035099999</v>
      </c>
      <c r="G14" s="311">
        <f>'Commodity Tonnages (2)'!G14*'Pricing (2)'!G14</f>
        <v>8553.9961142999982</v>
      </c>
      <c r="H14" s="311">
        <f>'Commodity Tonnages (2)'!H14*'Pricing (2)'!H14</f>
        <v>13457.548786023992</v>
      </c>
      <c r="I14" s="311">
        <f>'Commodity Tonnages (2)'!I14*'Pricing (2)'!I14</f>
        <v>1086.735459964</v>
      </c>
      <c r="J14" s="311">
        <f>'Commodity Tonnages (2)'!J14*'Pricing (2)'!J14</f>
        <v>1086.735459964</v>
      </c>
      <c r="K14" s="311">
        <f>'Commodity Tonnages (2)'!K14*'Pricing (2)'!K14</f>
        <v>9763.5568227120002</v>
      </c>
      <c r="L14" s="311">
        <f>'Commodity Tonnages (2)'!L14*'Pricing (2)'!L14</f>
        <v>-3467.4084929800078</v>
      </c>
      <c r="M14" s="307">
        <f t="shared" si="0"/>
        <v>32479.304433403981</v>
      </c>
      <c r="N14" s="307"/>
      <c r="O14" s="139">
        <f t="shared" si="1"/>
        <v>16237.264033403981</v>
      </c>
      <c r="P14" s="112">
        <f t="shared" si="2"/>
        <v>0.49992647061445217</v>
      </c>
      <c r="Q14" s="312">
        <v>16242.0404</v>
      </c>
      <c r="R14" s="68"/>
    </row>
    <row r="15" spans="1:18" x14ac:dyDescent="0.2">
      <c r="A15" s="313">
        <f>+'Pricing (2)'!A15</f>
        <v>42766</v>
      </c>
      <c r="B15" s="305"/>
      <c r="C15" s="311">
        <f>'Commodity Tonnages (2)'!C15*'Pricing (2)'!C15</f>
        <v>4034.3123036999991</v>
      </c>
      <c r="D15" s="311">
        <f>'Commodity Tonnages (2)'!D15*'Pricing (2)'!D15</f>
        <v>-1180.143536</v>
      </c>
      <c r="E15" s="311">
        <f>'Commodity Tonnages (2)'!E15*'Pricing (2)'!E15</f>
        <v>0</v>
      </c>
      <c r="F15" s="311">
        <f>'Commodity Tonnages (2)'!F15*'Pricing (2)'!F15</f>
        <v>825.70331151000016</v>
      </c>
      <c r="G15" s="311">
        <f>'Commodity Tonnages (2)'!G15*'Pricing (2)'!G15</f>
        <v>11133.305301299999</v>
      </c>
      <c r="H15" s="311">
        <f>'Commodity Tonnages (2)'!H15*'Pricing (2)'!H15</f>
        <v>15699.10757701999</v>
      </c>
      <c r="I15" s="311">
        <f>'Commodity Tonnages (2)'!I15*'Pricing (2)'!I15</f>
        <v>1525.311399185</v>
      </c>
      <c r="J15" s="311">
        <f>'Commodity Tonnages (2)'!J15*'Pricing (2)'!J15</f>
        <v>1525.311399185</v>
      </c>
      <c r="K15" s="311">
        <f>'Commodity Tonnages (2)'!K15*'Pricing (2)'!K15</f>
        <v>12930.173231975999</v>
      </c>
      <c r="L15" s="311">
        <f>'Commodity Tonnages (2)'!L15*'Pricing (2)'!L15</f>
        <v>-4324.2484724200103</v>
      </c>
      <c r="M15" s="307">
        <f t="shared" si="0"/>
        <v>42168.832515455972</v>
      </c>
      <c r="N15" s="307"/>
      <c r="O15" s="139">
        <f t="shared" si="1"/>
        <v>21084.87161545597</v>
      </c>
      <c r="P15" s="112">
        <f t="shared" si="2"/>
        <v>0.50001079844285035</v>
      </c>
      <c r="Q15" s="312">
        <v>21083.960900000002</v>
      </c>
      <c r="R15" s="68"/>
    </row>
    <row r="16" spans="1:18" x14ac:dyDescent="0.2">
      <c r="A16" s="313">
        <f>+'Pricing (2)'!A16</f>
        <v>42794</v>
      </c>
      <c r="B16" s="305"/>
      <c r="C16" s="311">
        <f>'Commodity Tonnages (2)'!C16*'Pricing (2)'!C16</f>
        <v>3346.7827070999992</v>
      </c>
      <c r="D16" s="311">
        <f>'Commodity Tonnages (2)'!D16*'Pricing (2)'!D16</f>
        <v>-886.0076524000001</v>
      </c>
      <c r="E16" s="311">
        <f>'Commodity Tonnages (2)'!E16*'Pricing (2)'!E16</f>
        <v>0</v>
      </c>
      <c r="F16" s="311">
        <f>'Commodity Tonnages (2)'!F16*'Pricing (2)'!F16</f>
        <v>576.17810481000004</v>
      </c>
      <c r="G16" s="311">
        <f>'Commodity Tonnages (2)'!G16*'Pricing (2)'!G16</f>
        <v>10308.731146350001</v>
      </c>
      <c r="H16" s="311">
        <f>'Commodity Tonnages (2)'!H16*'Pricing (2)'!H16</f>
        <v>15749.440775193994</v>
      </c>
      <c r="I16" s="311">
        <f>'Commodity Tonnages (2)'!I16*'Pricing (2)'!I16</f>
        <v>1333.3593876329999</v>
      </c>
      <c r="J16" s="311">
        <f>'Commodity Tonnages (2)'!J16*'Pricing (2)'!J16</f>
        <v>1333.3593876329999</v>
      </c>
      <c r="K16" s="311">
        <f>'Commodity Tonnages (2)'!K16*'Pricing (2)'!K16</f>
        <v>11971.425084696</v>
      </c>
      <c r="L16" s="311">
        <f>'Commodity Tonnages (2)'!L16*'Pricing (2)'!L16</f>
        <v>-3384.9597358100077</v>
      </c>
      <c r="M16" s="307">
        <f t="shared" si="0"/>
        <v>40348.309205205987</v>
      </c>
      <c r="N16" s="307"/>
      <c r="O16" s="139">
        <f t="shared" si="1"/>
        <v>20174.634505205988</v>
      </c>
      <c r="P16" s="112">
        <f t="shared" si="2"/>
        <v>0.50001189399537294</v>
      </c>
      <c r="Q16" s="312">
        <v>20173.6747</v>
      </c>
      <c r="R16" s="68"/>
    </row>
    <row r="17" spans="1:18" x14ac:dyDescent="0.2">
      <c r="A17" s="313">
        <f>+'Pricing (2)'!A17</f>
        <v>42825</v>
      </c>
      <c r="B17" s="305"/>
      <c r="C17" s="311">
        <f>'Commodity Tonnages (2)'!C17*'Pricing (2)'!C17</f>
        <v>4153.2466605</v>
      </c>
      <c r="D17" s="311">
        <f>'Commodity Tonnages (2)'!D17*'Pricing (2)'!D17</f>
        <v>-1064.3759568</v>
      </c>
      <c r="E17" s="311">
        <f>'Commodity Tonnages (2)'!E17*'Pricing (2)'!E17</f>
        <v>0</v>
      </c>
      <c r="F17" s="311">
        <f>'Commodity Tonnages (2)'!F17*'Pricing (2)'!F17</f>
        <v>849.65542777500013</v>
      </c>
      <c r="G17" s="311">
        <f>'Commodity Tonnages (2)'!G17*'Pricing (2)'!G17</f>
        <v>11967.482709</v>
      </c>
      <c r="H17" s="311">
        <f>'Commodity Tonnages (2)'!H17*'Pricing (2)'!H17</f>
        <v>19019.398529179987</v>
      </c>
      <c r="I17" s="311">
        <f>'Commodity Tonnages (2)'!I17*'Pricing (2)'!I17</f>
        <v>1410.8713040274999</v>
      </c>
      <c r="J17" s="311">
        <f>'Commodity Tonnages (2)'!J17*'Pricing (2)'!J17</f>
        <v>1410.8713040274999</v>
      </c>
      <c r="K17" s="311">
        <f>'Commodity Tonnages (2)'!K17*'Pricing (2)'!K17</f>
        <v>16123.40560215</v>
      </c>
      <c r="L17" s="311">
        <f>'Commodity Tonnages (2)'!L17*'Pricing (2)'!L17</f>
        <v>-4602.35148355001</v>
      </c>
      <c r="M17" s="307">
        <f t="shared" si="0"/>
        <v>49268.204096309986</v>
      </c>
      <c r="N17" s="307"/>
      <c r="O17" s="139">
        <f t="shared" si="1"/>
        <v>24633.716096309989</v>
      </c>
      <c r="P17" s="112">
        <f t="shared" si="2"/>
        <v>0.49999216630985271</v>
      </c>
      <c r="Q17" s="312">
        <v>24634.487999999998</v>
      </c>
      <c r="R17" s="68"/>
    </row>
    <row r="18" spans="1:18" x14ac:dyDescent="0.2">
      <c r="A18" s="313">
        <f>+'Pricing (2)'!A18</f>
        <v>42855</v>
      </c>
      <c r="B18" s="305"/>
      <c r="C18" s="311">
        <f>'Commodity Tonnages (2)'!C18*'Pricing (2)'!C18</f>
        <v>3409.55948025</v>
      </c>
      <c r="D18" s="311">
        <f>'Commodity Tonnages (2)'!D18*'Pricing (2)'!D18</f>
        <v>-886.10825160000002</v>
      </c>
      <c r="E18" s="311">
        <f>'Commodity Tonnages (2)'!E18*'Pricing (2)'!E18</f>
        <v>0</v>
      </c>
      <c r="F18" s="311">
        <f>'Commodity Tonnages (2)'!F18*'Pricing (2)'!F18</f>
        <v>615.51708570000005</v>
      </c>
      <c r="G18" s="311">
        <f>'Commodity Tonnages (2)'!G18*'Pricing (2)'!G18</f>
        <v>5706.8314289999998</v>
      </c>
      <c r="H18" s="311">
        <f>'Commodity Tonnages (2)'!H18*'Pricing (2)'!H18</f>
        <v>8357.4296666999944</v>
      </c>
      <c r="I18" s="311">
        <f>'Commodity Tonnages (2)'!I18*'Pricing (2)'!I18</f>
        <v>1085.98428027</v>
      </c>
      <c r="J18" s="311">
        <f>'Commodity Tonnages (2)'!J18*'Pricing (2)'!J18</f>
        <v>1085.98428027</v>
      </c>
      <c r="K18" s="311">
        <f>'Commodity Tonnages (2)'!K18*'Pricing (2)'!K18</f>
        <v>10169.659072980001</v>
      </c>
      <c r="L18" s="311">
        <f>'Commodity Tonnages (2)'!L18*'Pricing (2)'!L18</f>
        <v>-3827.8570970700089</v>
      </c>
      <c r="M18" s="307">
        <f t="shared" si="0"/>
        <v>25716.999946499986</v>
      </c>
      <c r="N18" s="307"/>
      <c r="O18" s="139">
        <f t="shared" si="1"/>
        <v>12858.655846499985</v>
      </c>
      <c r="P18" s="112">
        <f t="shared" si="2"/>
        <v>0.50000606109772983</v>
      </c>
      <c r="Q18" s="312">
        <v>12858.3441</v>
      </c>
      <c r="R18" s="68"/>
    </row>
    <row r="19" spans="1:18" ht="6.75" customHeight="1" x14ac:dyDescent="0.2">
      <c r="A19" s="305"/>
      <c r="B19" s="305"/>
      <c r="C19" s="311"/>
      <c r="D19" s="311"/>
      <c r="E19" s="311"/>
      <c r="F19" s="311"/>
      <c r="G19" s="311"/>
      <c r="H19" s="311"/>
      <c r="I19" s="311"/>
      <c r="J19" s="311"/>
      <c r="K19" s="311"/>
      <c r="L19" s="311"/>
      <c r="M19" s="307"/>
      <c r="N19" s="186"/>
      <c r="O19" s="307"/>
    </row>
    <row r="20" spans="1:18" x14ac:dyDescent="0.2">
      <c r="A20" s="310" t="s">
        <v>33</v>
      </c>
      <c r="B20" s="305"/>
      <c r="C20" s="309">
        <f t="shared" ref="C20:L20" si="3">SUM(C7:C19)</f>
        <v>42257.661123449994</v>
      </c>
      <c r="D20" s="309">
        <f t="shared" si="3"/>
        <v>-10542.80422208</v>
      </c>
      <c r="E20" s="309">
        <f t="shared" si="3"/>
        <v>0</v>
      </c>
      <c r="F20" s="309">
        <f t="shared" si="3"/>
        <v>7544.3061804000008</v>
      </c>
      <c r="G20" s="309">
        <f t="shared" si="3"/>
        <v>114707.71617044999</v>
      </c>
      <c r="H20" s="309">
        <f t="shared" si="3"/>
        <v>173280.37690755789</v>
      </c>
      <c r="I20" s="309">
        <f t="shared" si="3"/>
        <v>17455.368446734501</v>
      </c>
      <c r="J20" s="309">
        <f t="shared" si="3"/>
        <v>17455.368446734501</v>
      </c>
      <c r="K20" s="309">
        <f t="shared" si="3"/>
        <v>133454.87044223401</v>
      </c>
      <c r="L20" s="309">
        <f t="shared" si="3"/>
        <v>-48402.035908250109</v>
      </c>
      <c r="M20" s="308">
        <f>SUM(C20:L20)</f>
        <v>447210.82758723071</v>
      </c>
      <c r="N20" s="306"/>
      <c r="O20" s="308">
        <f>SUM(O7:O19)</f>
        <v>223604.16918723079</v>
      </c>
      <c r="P20" s="113">
        <f>+O20/M20</f>
        <v>0.49999721695829397</v>
      </c>
      <c r="Q20" s="304">
        <f>SUM(Q7:Q18)</f>
        <v>223606.65840000001</v>
      </c>
    </row>
    <row r="21" spans="1:18" x14ac:dyDescent="0.2">
      <c r="A21" s="305"/>
      <c r="B21" s="305"/>
      <c r="C21" s="307"/>
      <c r="D21" s="307"/>
      <c r="E21" s="307"/>
      <c r="F21" s="307"/>
      <c r="G21" s="307"/>
      <c r="H21" s="307"/>
      <c r="I21" s="307"/>
      <c r="J21" s="307"/>
      <c r="K21" s="307"/>
      <c r="L21" s="307"/>
      <c r="M21" s="307"/>
      <c r="N21" s="186"/>
      <c r="O21" s="304"/>
    </row>
    <row r="22" spans="1:18" x14ac:dyDescent="0.2">
      <c r="A22" s="305"/>
      <c r="B22" s="305"/>
      <c r="C22" s="305"/>
      <c r="D22" s="305"/>
      <c r="E22" s="305"/>
      <c r="F22" s="305"/>
      <c r="G22" s="305"/>
      <c r="H22" s="305"/>
      <c r="I22" s="305"/>
      <c r="J22" s="305"/>
      <c r="K22" s="305"/>
      <c r="L22" s="305"/>
      <c r="M22" s="306"/>
      <c r="N22" s="186"/>
      <c r="O22" s="304"/>
    </row>
    <row r="23" spans="1:18" x14ac:dyDescent="0.2">
      <c r="A23" s="305"/>
      <c r="B23" s="305"/>
      <c r="C23" s="305"/>
      <c r="D23" s="305"/>
      <c r="E23" s="305"/>
      <c r="F23" s="305"/>
      <c r="G23" s="305"/>
      <c r="H23" s="305"/>
      <c r="I23" s="305"/>
      <c r="J23" s="305"/>
      <c r="K23" s="305"/>
    </row>
    <row r="24" spans="1:18" x14ac:dyDescent="0.2">
      <c r="A24" s="305"/>
      <c r="B24" s="305"/>
      <c r="C24" s="305"/>
      <c r="D24" s="305"/>
      <c r="E24" s="305"/>
      <c r="F24" s="305"/>
      <c r="G24" s="305"/>
      <c r="H24" s="305"/>
      <c r="I24" s="305"/>
      <c r="J24" s="305"/>
      <c r="K24" s="305"/>
    </row>
    <row r="25" spans="1:18" x14ac:dyDescent="0.2">
      <c r="A25" s="305"/>
      <c r="B25" s="305"/>
      <c r="C25" s="305"/>
      <c r="D25" s="305"/>
      <c r="E25" s="305"/>
      <c r="F25" s="305"/>
      <c r="G25" s="305"/>
      <c r="H25" s="305"/>
      <c r="I25" s="305"/>
      <c r="J25" s="305"/>
      <c r="K25" s="305"/>
    </row>
    <row r="26" spans="1:18" x14ac:dyDescent="0.2">
      <c r="A26" s="305"/>
      <c r="B26" s="305"/>
      <c r="C26" s="305"/>
      <c r="D26" s="305"/>
      <c r="E26" s="305"/>
      <c r="F26" s="305"/>
      <c r="G26" s="305"/>
      <c r="H26" s="305"/>
      <c r="I26" s="305"/>
      <c r="J26" s="305"/>
      <c r="K26" s="305"/>
    </row>
    <row r="27" spans="1:18" x14ac:dyDescent="0.2">
      <c r="A27" s="305"/>
      <c r="B27" s="305"/>
      <c r="C27" s="305"/>
      <c r="D27" s="305"/>
      <c r="E27" s="305"/>
      <c r="F27" s="305"/>
      <c r="G27" s="305"/>
      <c r="H27" s="305"/>
      <c r="I27" s="305"/>
      <c r="J27" s="305"/>
      <c r="K27" s="305"/>
    </row>
    <row r="28" spans="1:18" x14ac:dyDescent="0.2">
      <c r="A28" s="305"/>
      <c r="B28" s="305"/>
      <c r="C28" s="305"/>
      <c r="D28" s="305"/>
      <c r="E28" s="305"/>
      <c r="F28" s="305"/>
      <c r="G28" s="305"/>
      <c r="H28" s="305"/>
      <c r="I28" s="305"/>
      <c r="J28" s="305"/>
      <c r="K28" s="305"/>
    </row>
    <row r="29" spans="1:18" x14ac:dyDescent="0.2">
      <c r="A29" s="305"/>
      <c r="B29" s="305"/>
      <c r="C29" s="305"/>
      <c r="D29" s="305"/>
      <c r="E29" s="305"/>
      <c r="F29" s="305"/>
      <c r="G29" s="305"/>
      <c r="H29" s="305"/>
      <c r="I29" s="305"/>
      <c r="J29" s="305"/>
      <c r="K29" s="305"/>
    </row>
    <row r="30" spans="1:18" x14ac:dyDescent="0.2">
      <c r="A30" s="305"/>
      <c r="B30" s="305"/>
      <c r="C30" s="305"/>
      <c r="D30" s="305"/>
      <c r="E30" s="305"/>
      <c r="F30" s="305"/>
      <c r="G30" s="305"/>
      <c r="H30" s="305"/>
      <c r="I30" s="305"/>
      <c r="J30" s="305"/>
      <c r="K30" s="305"/>
    </row>
    <row r="31" spans="1:18" x14ac:dyDescent="0.2">
      <c r="A31" s="305"/>
      <c r="B31" s="305"/>
      <c r="C31" s="305"/>
      <c r="D31" s="305"/>
      <c r="E31" s="305"/>
      <c r="F31" s="305"/>
      <c r="G31" s="305"/>
      <c r="H31" s="305"/>
      <c r="I31" s="305"/>
      <c r="J31" s="305"/>
      <c r="K31" s="305"/>
    </row>
    <row r="32" spans="1:18" x14ac:dyDescent="0.2">
      <c r="A32" s="305"/>
      <c r="B32" s="305"/>
      <c r="C32" s="305"/>
      <c r="D32" s="305"/>
      <c r="E32" s="305"/>
      <c r="F32" s="305"/>
      <c r="G32" s="305"/>
      <c r="H32" s="305"/>
      <c r="I32" s="305"/>
      <c r="J32" s="305"/>
      <c r="K32" s="305"/>
    </row>
    <row r="33" spans="1:11" x14ac:dyDescent="0.2">
      <c r="A33" s="305"/>
      <c r="B33" s="305"/>
      <c r="C33" s="305"/>
      <c r="D33" s="305"/>
      <c r="E33" s="305"/>
      <c r="F33" s="305"/>
      <c r="G33" s="305"/>
      <c r="H33" s="305"/>
      <c r="I33" s="305"/>
      <c r="J33" s="305"/>
      <c r="K33" s="305"/>
    </row>
    <row r="34" spans="1:11" x14ac:dyDescent="0.2">
      <c r="A34" s="305"/>
      <c r="B34" s="305"/>
      <c r="C34" s="305"/>
      <c r="D34" s="305"/>
      <c r="E34" s="305"/>
      <c r="F34" s="305"/>
      <c r="G34" s="305"/>
      <c r="H34" s="305"/>
      <c r="I34" s="305"/>
      <c r="J34" s="305"/>
      <c r="K34" s="305"/>
    </row>
    <row r="35" spans="1:11" x14ac:dyDescent="0.2">
      <c r="A35" s="305"/>
      <c r="B35" s="305"/>
      <c r="C35" s="305"/>
      <c r="D35" s="305"/>
      <c r="E35" s="305"/>
      <c r="F35" s="305"/>
      <c r="G35" s="305"/>
      <c r="H35" s="305"/>
      <c r="I35" s="305"/>
      <c r="J35" s="305"/>
      <c r="K35" s="305"/>
    </row>
    <row r="36" spans="1:11" x14ac:dyDescent="0.2">
      <c r="A36" s="305"/>
      <c r="B36" s="305"/>
      <c r="C36" s="305"/>
      <c r="D36" s="305"/>
      <c r="E36" s="305"/>
      <c r="F36" s="305"/>
      <c r="G36" s="305"/>
      <c r="H36" s="305"/>
      <c r="I36" s="305"/>
      <c r="J36" s="305"/>
      <c r="K36" s="305"/>
    </row>
    <row r="37" spans="1:11" x14ac:dyDescent="0.2">
      <c r="A37" s="305"/>
      <c r="B37" s="305"/>
      <c r="C37" s="305"/>
      <c r="D37" s="305"/>
      <c r="E37" s="305"/>
      <c r="F37" s="305"/>
      <c r="G37" s="305"/>
      <c r="H37" s="305"/>
      <c r="I37" s="305"/>
      <c r="J37" s="305"/>
      <c r="K37" s="305"/>
    </row>
    <row r="38" spans="1:11" x14ac:dyDescent="0.2">
      <c r="A38" s="305"/>
      <c r="B38" s="305"/>
      <c r="C38" s="305"/>
      <c r="D38" s="305"/>
      <c r="E38" s="305"/>
      <c r="F38" s="305"/>
      <c r="G38" s="305"/>
      <c r="H38" s="305"/>
      <c r="I38" s="305"/>
      <c r="J38" s="305"/>
      <c r="K38" s="305"/>
    </row>
    <row r="39" spans="1:11" x14ac:dyDescent="0.2">
      <c r="A39" s="305"/>
      <c r="B39" s="305"/>
      <c r="C39" s="305"/>
      <c r="D39" s="305"/>
      <c r="E39" s="305"/>
      <c r="F39" s="305"/>
      <c r="G39" s="305"/>
      <c r="H39" s="305"/>
      <c r="I39" s="305"/>
      <c r="J39" s="305"/>
      <c r="K39" s="305"/>
    </row>
    <row r="40" spans="1:11" x14ac:dyDescent="0.2">
      <c r="A40" s="305"/>
      <c r="B40" s="305"/>
      <c r="C40" s="305"/>
      <c r="D40" s="305"/>
      <c r="E40" s="305"/>
      <c r="F40" s="305"/>
      <c r="G40" s="305"/>
      <c r="H40" s="305"/>
      <c r="I40" s="305"/>
      <c r="J40" s="305"/>
      <c r="K40" s="305"/>
    </row>
    <row r="41" spans="1:11" x14ac:dyDescent="0.2">
      <c r="A41" s="305"/>
      <c r="B41" s="305"/>
      <c r="C41" s="305"/>
      <c r="D41" s="305"/>
      <c r="E41" s="305"/>
      <c r="F41" s="305"/>
      <c r="G41" s="305"/>
      <c r="H41" s="305"/>
      <c r="I41" s="305"/>
      <c r="J41" s="305"/>
      <c r="K41" s="305"/>
    </row>
    <row r="42" spans="1:11" x14ac:dyDescent="0.2">
      <c r="A42" s="305"/>
      <c r="B42" s="305"/>
      <c r="C42" s="305"/>
      <c r="D42" s="305"/>
      <c r="E42" s="305"/>
      <c r="F42" s="305"/>
      <c r="G42" s="305"/>
      <c r="H42" s="305"/>
      <c r="I42" s="305"/>
      <c r="J42" s="305"/>
      <c r="K42" s="305"/>
    </row>
    <row r="43" spans="1:11" x14ac:dyDescent="0.2">
      <c r="A43" s="305"/>
      <c r="B43" s="305"/>
      <c r="C43" s="305"/>
      <c r="D43" s="305"/>
      <c r="E43" s="305"/>
      <c r="F43" s="305"/>
      <c r="G43" s="305"/>
      <c r="H43" s="305"/>
      <c r="I43" s="305"/>
      <c r="J43" s="305"/>
      <c r="K43" s="305"/>
    </row>
    <row r="44" spans="1:11" x14ac:dyDescent="0.2">
      <c r="A44" s="305"/>
      <c r="B44" s="305"/>
      <c r="C44" s="305"/>
      <c r="D44" s="305"/>
      <c r="E44" s="305"/>
      <c r="F44" s="305"/>
      <c r="G44" s="305"/>
      <c r="H44" s="305"/>
      <c r="I44" s="305"/>
      <c r="J44" s="305"/>
      <c r="K44" s="305"/>
    </row>
    <row r="45" spans="1:11" x14ac:dyDescent="0.2">
      <c r="A45" s="305"/>
      <c r="B45" s="305"/>
      <c r="C45" s="305"/>
      <c r="D45" s="305"/>
      <c r="E45" s="305"/>
      <c r="F45" s="305"/>
      <c r="G45" s="305"/>
      <c r="H45" s="305"/>
      <c r="I45" s="305"/>
      <c r="J45" s="305"/>
      <c r="K45" s="305"/>
    </row>
    <row r="46" spans="1:11" x14ac:dyDescent="0.2">
      <c r="A46" s="305"/>
      <c r="B46" s="305"/>
      <c r="C46" s="305"/>
      <c r="D46" s="305"/>
      <c r="E46" s="305"/>
      <c r="F46" s="305"/>
      <c r="G46" s="305"/>
      <c r="H46" s="305"/>
      <c r="I46" s="305"/>
      <c r="J46" s="305"/>
      <c r="K46" s="305"/>
    </row>
    <row r="47" spans="1:11" x14ac:dyDescent="0.2">
      <c r="A47" s="305"/>
      <c r="B47" s="305"/>
      <c r="C47" s="305"/>
      <c r="D47" s="305"/>
      <c r="E47" s="305"/>
      <c r="F47" s="305"/>
      <c r="G47" s="305"/>
      <c r="H47" s="305"/>
      <c r="I47" s="305"/>
      <c r="J47" s="305"/>
      <c r="K47" s="305"/>
    </row>
    <row r="48" spans="1:11" x14ac:dyDescent="0.2">
      <c r="A48" s="305"/>
      <c r="B48" s="305"/>
      <c r="C48" s="305"/>
      <c r="D48" s="305"/>
      <c r="E48" s="305"/>
      <c r="F48" s="305"/>
      <c r="G48" s="305"/>
      <c r="H48" s="305"/>
      <c r="I48" s="305"/>
      <c r="J48" s="305"/>
      <c r="K48" s="305"/>
    </row>
    <row r="49" spans="1:11" x14ac:dyDescent="0.2">
      <c r="A49" s="305"/>
      <c r="B49" s="305"/>
      <c r="C49" s="305"/>
      <c r="D49" s="305"/>
      <c r="E49" s="305"/>
      <c r="F49" s="305"/>
      <c r="G49" s="305"/>
      <c r="H49" s="305"/>
      <c r="I49" s="305"/>
      <c r="J49" s="305"/>
      <c r="K49" s="305"/>
    </row>
    <row r="50" spans="1:11" x14ac:dyDescent="0.2">
      <c r="A50" s="305"/>
      <c r="B50" s="305"/>
      <c r="C50" s="305"/>
      <c r="D50" s="305"/>
      <c r="E50" s="305"/>
      <c r="F50" s="305"/>
      <c r="G50" s="305"/>
      <c r="H50" s="305"/>
      <c r="I50" s="305"/>
      <c r="J50" s="305"/>
      <c r="K50" s="305"/>
    </row>
    <row r="51" spans="1:11" x14ac:dyDescent="0.2">
      <c r="A51" s="305"/>
      <c r="B51" s="305"/>
      <c r="C51" s="305"/>
      <c r="D51" s="305"/>
      <c r="E51" s="305"/>
      <c r="F51" s="305"/>
      <c r="G51" s="305"/>
      <c r="H51" s="305"/>
      <c r="I51" s="305"/>
      <c r="J51" s="305"/>
      <c r="K51" s="305"/>
    </row>
    <row r="52" spans="1:11" x14ac:dyDescent="0.2">
      <c r="A52" s="305"/>
      <c r="B52" s="305"/>
      <c r="C52" s="305"/>
      <c r="D52" s="305"/>
      <c r="E52" s="305"/>
      <c r="F52" s="305"/>
      <c r="G52" s="305"/>
      <c r="H52" s="305"/>
      <c r="I52" s="305"/>
      <c r="J52" s="305"/>
      <c r="K52" s="305"/>
    </row>
    <row r="53" spans="1:11" x14ac:dyDescent="0.2">
      <c r="A53" s="305"/>
      <c r="B53" s="305"/>
      <c r="C53" s="305"/>
      <c r="D53" s="305"/>
      <c r="E53" s="305"/>
      <c r="F53" s="305"/>
      <c r="G53" s="305"/>
      <c r="H53" s="305"/>
      <c r="I53" s="305"/>
      <c r="J53" s="305"/>
      <c r="K53" s="305"/>
    </row>
    <row r="54" spans="1:11" x14ac:dyDescent="0.2">
      <c r="A54" s="305"/>
      <c r="B54" s="305"/>
      <c r="C54" s="305"/>
      <c r="D54" s="305"/>
      <c r="E54" s="305"/>
      <c r="F54" s="305"/>
      <c r="G54" s="305"/>
      <c r="H54" s="305"/>
      <c r="I54" s="305"/>
      <c r="J54" s="305"/>
      <c r="K54" s="305"/>
    </row>
    <row r="55" spans="1:11" x14ac:dyDescent="0.2">
      <c r="A55" s="305"/>
      <c r="B55" s="305"/>
      <c r="C55" s="305"/>
      <c r="D55" s="305"/>
      <c r="E55" s="305"/>
      <c r="F55" s="305"/>
      <c r="G55" s="305"/>
      <c r="H55" s="305"/>
      <c r="I55" s="305"/>
      <c r="J55" s="305"/>
      <c r="K55" s="305"/>
    </row>
    <row r="56" spans="1:11" x14ac:dyDescent="0.2">
      <c r="A56" s="305"/>
      <c r="B56" s="305"/>
      <c r="C56" s="305"/>
      <c r="D56" s="305"/>
      <c r="E56" s="305"/>
      <c r="F56" s="305"/>
      <c r="G56" s="305"/>
      <c r="H56" s="305"/>
      <c r="I56" s="305"/>
      <c r="J56" s="305"/>
      <c r="K56" s="305"/>
    </row>
    <row r="57" spans="1:11" x14ac:dyDescent="0.2">
      <c r="A57" s="305"/>
      <c r="B57" s="305"/>
      <c r="C57" s="305"/>
      <c r="D57" s="305"/>
      <c r="E57" s="305"/>
      <c r="F57" s="305"/>
      <c r="G57" s="305"/>
      <c r="H57" s="305"/>
      <c r="I57" s="305"/>
      <c r="J57" s="305"/>
      <c r="K57" s="305"/>
    </row>
    <row r="58" spans="1:11" x14ac:dyDescent="0.2">
      <c r="A58" s="305"/>
      <c r="B58" s="305"/>
      <c r="C58" s="305"/>
      <c r="D58" s="305"/>
      <c r="E58" s="305"/>
      <c r="F58" s="305"/>
      <c r="G58" s="305"/>
      <c r="H58" s="305"/>
      <c r="I58" s="305"/>
      <c r="J58" s="305"/>
      <c r="K58" s="305"/>
    </row>
    <row r="59" spans="1:11" x14ac:dyDescent="0.2">
      <c r="A59" s="305"/>
      <c r="B59" s="305"/>
      <c r="C59" s="305"/>
      <c r="D59" s="305"/>
      <c r="E59" s="305"/>
      <c r="F59" s="305"/>
      <c r="G59" s="305"/>
      <c r="H59" s="305"/>
      <c r="I59" s="305"/>
      <c r="J59" s="305"/>
      <c r="K59" s="305"/>
    </row>
    <row r="60" spans="1:11" x14ac:dyDescent="0.2">
      <c r="A60" s="305"/>
      <c r="B60" s="305"/>
      <c r="C60" s="305"/>
      <c r="D60" s="305"/>
      <c r="E60" s="305"/>
      <c r="F60" s="305"/>
      <c r="G60" s="305"/>
      <c r="H60" s="305"/>
      <c r="I60" s="305"/>
      <c r="J60" s="305"/>
      <c r="K60" s="305"/>
    </row>
    <row r="61" spans="1:11" x14ac:dyDescent="0.2">
      <c r="A61" s="305"/>
      <c r="B61" s="305"/>
      <c r="C61" s="305"/>
      <c r="D61" s="305"/>
      <c r="E61" s="305"/>
      <c r="F61" s="305"/>
      <c r="G61" s="305"/>
      <c r="H61" s="305"/>
      <c r="I61" s="305"/>
      <c r="J61" s="305"/>
      <c r="K61" s="305"/>
    </row>
    <row r="62" spans="1:11" x14ac:dyDescent="0.2">
      <c r="A62" s="305"/>
      <c r="B62" s="305"/>
      <c r="C62" s="305"/>
      <c r="D62" s="305"/>
      <c r="E62" s="305"/>
      <c r="F62" s="305"/>
      <c r="G62" s="305"/>
      <c r="H62" s="305"/>
      <c r="I62" s="305"/>
      <c r="J62" s="305"/>
      <c r="K62" s="305"/>
    </row>
    <row r="63" spans="1:11" x14ac:dyDescent="0.2">
      <c r="A63" s="305"/>
      <c r="B63" s="305"/>
      <c r="C63" s="305"/>
      <c r="D63" s="305"/>
      <c r="E63" s="305"/>
      <c r="F63" s="305"/>
      <c r="G63" s="305"/>
      <c r="H63" s="305"/>
      <c r="I63" s="305"/>
      <c r="J63" s="305"/>
      <c r="K63" s="305"/>
    </row>
    <row r="64" spans="1:11" x14ac:dyDescent="0.2">
      <c r="A64" s="305"/>
      <c r="B64" s="305"/>
      <c r="C64" s="305"/>
      <c r="D64" s="305"/>
      <c r="E64" s="305"/>
      <c r="F64" s="305"/>
      <c r="G64" s="305"/>
      <c r="H64" s="305"/>
      <c r="I64" s="305"/>
      <c r="J64" s="305"/>
      <c r="K64" s="305"/>
    </row>
    <row r="65" spans="1:11" x14ac:dyDescent="0.2">
      <c r="A65" s="305"/>
      <c r="B65" s="305"/>
      <c r="C65" s="305"/>
      <c r="D65" s="305"/>
      <c r="E65" s="305"/>
      <c r="F65" s="305"/>
      <c r="G65" s="305"/>
      <c r="H65" s="305"/>
      <c r="I65" s="305"/>
      <c r="J65" s="305"/>
      <c r="K65" s="305"/>
    </row>
    <row r="66" spans="1:11" x14ac:dyDescent="0.2">
      <c r="A66" s="305"/>
      <c r="B66" s="305"/>
      <c r="C66" s="305"/>
      <c r="D66" s="305"/>
      <c r="E66" s="305"/>
      <c r="F66" s="305"/>
      <c r="G66" s="305"/>
      <c r="H66" s="305"/>
      <c r="I66" s="305"/>
      <c r="J66" s="305"/>
      <c r="K66" s="305"/>
    </row>
    <row r="67" spans="1:11" x14ac:dyDescent="0.2">
      <c r="A67" s="305"/>
      <c r="B67" s="305"/>
      <c r="C67" s="305"/>
      <c r="D67" s="305"/>
      <c r="E67" s="305"/>
      <c r="F67" s="305"/>
      <c r="G67" s="305"/>
      <c r="H67" s="305"/>
      <c r="I67" s="305"/>
      <c r="J67" s="305"/>
      <c r="K67" s="305"/>
    </row>
    <row r="68" spans="1:11" x14ac:dyDescent="0.2">
      <c r="A68" s="305"/>
      <c r="B68" s="305"/>
      <c r="C68" s="305"/>
      <c r="D68" s="305"/>
      <c r="E68" s="305"/>
      <c r="F68" s="305"/>
      <c r="G68" s="305"/>
      <c r="H68" s="305"/>
      <c r="I68" s="305"/>
      <c r="J68" s="305"/>
      <c r="K68" s="305"/>
    </row>
    <row r="69" spans="1:11" x14ac:dyDescent="0.2">
      <c r="A69" s="305"/>
      <c r="B69" s="305"/>
      <c r="C69" s="305"/>
      <c r="D69" s="305"/>
      <c r="E69" s="305"/>
      <c r="F69" s="305"/>
      <c r="G69" s="305"/>
      <c r="H69" s="305"/>
      <c r="I69" s="305"/>
      <c r="J69" s="305"/>
      <c r="K69" s="305"/>
    </row>
    <row r="70" spans="1:11" x14ac:dyDescent="0.2">
      <c r="A70" s="305"/>
      <c r="B70" s="305"/>
      <c r="C70" s="305"/>
      <c r="D70" s="305"/>
      <c r="E70" s="305"/>
      <c r="F70" s="305"/>
      <c r="G70" s="305"/>
      <c r="H70" s="305"/>
      <c r="I70" s="305"/>
      <c r="J70" s="305"/>
      <c r="K70" s="305"/>
    </row>
    <row r="71" spans="1:11" x14ac:dyDescent="0.2">
      <c r="A71" s="305"/>
      <c r="B71" s="305"/>
      <c r="C71" s="305"/>
      <c r="D71" s="305"/>
      <c r="E71" s="305"/>
      <c r="F71" s="305"/>
      <c r="G71" s="305"/>
      <c r="H71" s="305"/>
      <c r="I71" s="305"/>
      <c r="J71" s="305"/>
      <c r="K71" s="305"/>
    </row>
    <row r="72" spans="1:11" x14ac:dyDescent="0.2">
      <c r="A72" s="305"/>
      <c r="B72" s="305"/>
      <c r="C72" s="305"/>
      <c r="D72" s="305"/>
      <c r="E72" s="305"/>
      <c r="F72" s="305"/>
      <c r="G72" s="305"/>
      <c r="H72" s="305"/>
      <c r="I72" s="305"/>
      <c r="J72" s="305"/>
      <c r="K72" s="305"/>
    </row>
    <row r="73" spans="1:11" x14ac:dyDescent="0.2">
      <c r="A73" s="305"/>
      <c r="B73" s="305"/>
      <c r="C73" s="305"/>
      <c r="D73" s="305"/>
      <c r="E73" s="305"/>
      <c r="F73" s="305"/>
      <c r="G73" s="305"/>
      <c r="H73" s="305"/>
      <c r="I73" s="305"/>
      <c r="J73" s="305"/>
      <c r="K73" s="305"/>
    </row>
    <row r="74" spans="1:11" x14ac:dyDescent="0.2">
      <c r="A74" s="305"/>
      <c r="B74" s="305"/>
      <c r="C74" s="305"/>
      <c r="D74" s="305"/>
      <c r="E74" s="305"/>
      <c r="F74" s="305"/>
      <c r="G74" s="305"/>
      <c r="H74" s="305"/>
      <c r="I74" s="305"/>
      <c r="J74" s="305"/>
      <c r="K74" s="305"/>
    </row>
    <row r="75" spans="1:11" x14ac:dyDescent="0.2">
      <c r="A75" s="305"/>
      <c r="B75" s="305"/>
      <c r="C75" s="305"/>
      <c r="D75" s="305"/>
      <c r="E75" s="305"/>
      <c r="F75" s="305"/>
      <c r="G75" s="305"/>
      <c r="H75" s="305"/>
      <c r="I75" s="305"/>
      <c r="J75" s="305"/>
      <c r="K75" s="305"/>
    </row>
    <row r="76" spans="1:11" x14ac:dyDescent="0.2">
      <c r="A76" s="305"/>
      <c r="B76" s="305"/>
      <c r="C76" s="305"/>
      <c r="D76" s="305"/>
      <c r="E76" s="305"/>
      <c r="F76" s="305"/>
      <c r="G76" s="305"/>
      <c r="H76" s="305"/>
      <c r="I76" s="305"/>
      <c r="J76" s="305"/>
      <c r="K76" s="305"/>
    </row>
    <row r="77" spans="1:11" x14ac:dyDescent="0.2">
      <c r="A77" s="305"/>
      <c r="B77" s="305"/>
      <c r="C77" s="305"/>
      <c r="D77" s="305"/>
      <c r="E77" s="305"/>
      <c r="F77" s="305"/>
      <c r="G77" s="305"/>
      <c r="H77" s="305"/>
      <c r="I77" s="305"/>
      <c r="J77" s="305"/>
      <c r="K77" s="305"/>
    </row>
    <row r="78" spans="1:11" x14ac:dyDescent="0.2">
      <c r="A78" s="305"/>
      <c r="B78" s="305"/>
      <c r="C78" s="305"/>
      <c r="D78" s="305"/>
      <c r="E78" s="305"/>
      <c r="F78" s="305"/>
      <c r="G78" s="305"/>
      <c r="H78" s="305"/>
      <c r="I78" s="305"/>
      <c r="J78" s="305"/>
      <c r="K78" s="305"/>
    </row>
    <row r="79" spans="1:11" x14ac:dyDescent="0.2">
      <c r="A79" s="305"/>
      <c r="B79" s="305"/>
      <c r="C79" s="305"/>
      <c r="D79" s="305"/>
      <c r="E79" s="305"/>
      <c r="F79" s="305"/>
      <c r="G79" s="305"/>
      <c r="H79" s="305"/>
      <c r="I79" s="305"/>
      <c r="J79" s="305"/>
      <c r="K79" s="305"/>
    </row>
    <row r="80" spans="1:11" x14ac:dyDescent="0.2">
      <c r="A80" s="305"/>
      <c r="B80" s="305"/>
      <c r="C80" s="305"/>
      <c r="D80" s="305"/>
      <c r="E80" s="305"/>
      <c r="F80" s="305"/>
      <c r="G80" s="305"/>
      <c r="H80" s="305"/>
      <c r="I80" s="305"/>
      <c r="J80" s="305"/>
      <c r="K80" s="305"/>
    </row>
    <row r="81" spans="1:11" x14ac:dyDescent="0.2">
      <c r="A81" s="305"/>
      <c r="B81" s="305"/>
      <c r="C81" s="305"/>
      <c r="D81" s="305"/>
      <c r="E81" s="305"/>
      <c r="F81" s="305"/>
      <c r="G81" s="305"/>
      <c r="H81" s="305"/>
      <c r="I81" s="305"/>
      <c r="J81" s="305"/>
      <c r="K81" s="305"/>
    </row>
    <row r="82" spans="1:11" x14ac:dyDescent="0.2">
      <c r="A82" s="305"/>
      <c r="B82" s="305"/>
      <c r="C82" s="305"/>
      <c r="D82" s="305"/>
      <c r="E82" s="305"/>
      <c r="F82" s="305"/>
      <c r="G82" s="305"/>
      <c r="H82" s="305"/>
      <c r="I82" s="305"/>
      <c r="J82" s="305"/>
      <c r="K82" s="305"/>
    </row>
    <row r="83" spans="1:11" x14ac:dyDescent="0.2">
      <c r="A83" s="305"/>
      <c r="B83" s="305"/>
      <c r="C83" s="305"/>
      <c r="D83" s="305"/>
      <c r="E83" s="305"/>
      <c r="F83" s="305"/>
      <c r="G83" s="305"/>
      <c r="H83" s="305"/>
      <c r="I83" s="305"/>
      <c r="J83" s="305"/>
      <c r="K83" s="305"/>
    </row>
    <row r="84" spans="1:11" x14ac:dyDescent="0.2">
      <c r="A84" s="305"/>
      <c r="B84" s="305"/>
      <c r="C84" s="305"/>
      <c r="D84" s="305"/>
      <c r="E84" s="305"/>
      <c r="F84" s="305"/>
      <c r="G84" s="305"/>
      <c r="H84" s="305"/>
      <c r="I84" s="305"/>
      <c r="J84" s="305"/>
      <c r="K84" s="305"/>
    </row>
    <row r="85" spans="1:11" x14ac:dyDescent="0.2">
      <c r="A85" s="305"/>
      <c r="B85" s="305"/>
      <c r="C85" s="305"/>
      <c r="D85" s="305"/>
      <c r="E85" s="305"/>
      <c r="F85" s="305"/>
      <c r="G85" s="305"/>
      <c r="H85" s="305"/>
      <c r="I85" s="305"/>
      <c r="J85" s="305"/>
      <c r="K85" s="305"/>
    </row>
    <row r="86" spans="1:11" x14ac:dyDescent="0.2">
      <c r="A86" s="305"/>
      <c r="B86" s="305"/>
      <c r="C86" s="305"/>
      <c r="D86" s="305"/>
      <c r="E86" s="305"/>
      <c r="F86" s="305"/>
      <c r="G86" s="305"/>
      <c r="H86" s="305"/>
      <c r="I86" s="305"/>
      <c r="J86" s="305"/>
      <c r="K86" s="305"/>
    </row>
    <row r="87" spans="1:11" x14ac:dyDescent="0.2">
      <c r="A87" s="305"/>
      <c r="B87" s="305"/>
      <c r="C87" s="305"/>
      <c r="D87" s="305"/>
      <c r="E87" s="305"/>
      <c r="F87" s="305"/>
      <c r="G87" s="305"/>
      <c r="H87" s="305"/>
      <c r="I87" s="305"/>
      <c r="J87" s="305"/>
      <c r="K87" s="305"/>
    </row>
    <row r="88" spans="1:11" x14ac:dyDescent="0.2">
      <c r="A88" s="305"/>
      <c r="B88" s="305"/>
      <c r="C88" s="305"/>
      <c r="D88" s="305"/>
      <c r="E88" s="305"/>
      <c r="F88" s="305"/>
      <c r="G88" s="305"/>
      <c r="H88" s="305"/>
      <c r="I88" s="305"/>
      <c r="J88" s="305"/>
      <c r="K88" s="305"/>
    </row>
    <row r="89" spans="1:11" x14ac:dyDescent="0.2">
      <c r="A89" s="305"/>
      <c r="B89" s="305"/>
      <c r="C89" s="305"/>
      <c r="D89" s="305"/>
      <c r="E89" s="305"/>
      <c r="F89" s="305"/>
      <c r="G89" s="305"/>
      <c r="H89" s="305"/>
      <c r="I89" s="305"/>
      <c r="J89" s="305"/>
      <c r="K89" s="305"/>
    </row>
    <row r="90" spans="1:11" x14ac:dyDescent="0.2">
      <c r="A90" s="305"/>
      <c r="B90" s="305"/>
      <c r="C90" s="305"/>
      <c r="D90" s="305"/>
      <c r="E90" s="305"/>
      <c r="F90" s="305"/>
      <c r="G90" s="305"/>
      <c r="H90" s="305"/>
      <c r="I90" s="305"/>
      <c r="J90" s="305"/>
      <c r="K90" s="305"/>
    </row>
    <row r="91" spans="1:11" x14ac:dyDescent="0.2">
      <c r="A91" s="305"/>
      <c r="B91" s="305"/>
      <c r="C91" s="305"/>
      <c r="D91" s="305"/>
      <c r="E91" s="305"/>
      <c r="F91" s="305"/>
      <c r="G91" s="305"/>
      <c r="H91" s="305"/>
      <c r="I91" s="305"/>
      <c r="J91" s="305"/>
      <c r="K91" s="305"/>
    </row>
    <row r="92" spans="1:11" x14ac:dyDescent="0.2">
      <c r="A92" s="305"/>
      <c r="B92" s="305"/>
      <c r="C92" s="305"/>
      <c r="D92" s="305"/>
      <c r="E92" s="305"/>
      <c r="F92" s="305"/>
      <c r="G92" s="305"/>
      <c r="H92" s="305"/>
      <c r="I92" s="305"/>
      <c r="J92" s="305"/>
      <c r="K92" s="305"/>
    </row>
    <row r="93" spans="1:11" x14ac:dyDescent="0.2">
      <c r="A93" s="305"/>
      <c r="B93" s="305"/>
      <c r="C93" s="305"/>
      <c r="D93" s="305"/>
      <c r="E93" s="305"/>
      <c r="F93" s="305"/>
      <c r="G93" s="305"/>
      <c r="H93" s="305"/>
      <c r="I93" s="305"/>
      <c r="J93" s="305"/>
      <c r="K93" s="305"/>
    </row>
    <row r="94" spans="1:11" x14ac:dyDescent="0.2">
      <c r="A94" s="305"/>
      <c r="B94" s="305"/>
      <c r="C94" s="305"/>
      <c r="D94" s="305"/>
      <c r="E94" s="305"/>
      <c r="F94" s="305"/>
      <c r="G94" s="305"/>
      <c r="H94" s="305"/>
      <c r="I94" s="305"/>
      <c r="J94" s="305"/>
      <c r="K94" s="305"/>
    </row>
    <row r="95" spans="1:11" x14ac:dyDescent="0.2">
      <c r="A95" s="305"/>
      <c r="B95" s="305"/>
      <c r="C95" s="305"/>
      <c r="D95" s="305"/>
      <c r="E95" s="305"/>
      <c r="F95" s="305"/>
      <c r="G95" s="305"/>
      <c r="H95" s="305"/>
      <c r="I95" s="305"/>
      <c r="J95" s="305"/>
      <c r="K95" s="305"/>
    </row>
    <row r="96" spans="1:11" x14ac:dyDescent="0.2">
      <c r="A96" s="305"/>
      <c r="B96" s="305"/>
      <c r="C96" s="305"/>
      <c r="D96" s="305"/>
      <c r="E96" s="305"/>
      <c r="F96" s="305"/>
      <c r="G96" s="305"/>
      <c r="H96" s="305"/>
      <c r="I96" s="305"/>
      <c r="J96" s="305"/>
      <c r="K96" s="305"/>
    </row>
    <row r="97" spans="1:11" x14ac:dyDescent="0.2">
      <c r="A97" s="305"/>
      <c r="B97" s="305"/>
      <c r="C97" s="305"/>
      <c r="D97" s="305"/>
      <c r="E97" s="305"/>
      <c r="F97" s="305"/>
      <c r="G97" s="305"/>
      <c r="H97" s="305"/>
      <c r="I97" s="305"/>
      <c r="J97" s="305"/>
      <c r="K97" s="305"/>
    </row>
    <row r="98" spans="1:11" x14ac:dyDescent="0.2">
      <c r="A98" s="305"/>
      <c r="B98" s="305"/>
      <c r="C98" s="305"/>
      <c r="D98" s="305"/>
      <c r="E98" s="305"/>
      <c r="F98" s="305"/>
      <c r="G98" s="305"/>
      <c r="H98" s="305"/>
      <c r="I98" s="305"/>
      <c r="J98" s="305"/>
      <c r="K98" s="305"/>
    </row>
    <row r="99" spans="1:11" x14ac:dyDescent="0.2">
      <c r="A99" s="305"/>
      <c r="B99" s="305"/>
      <c r="C99" s="305"/>
      <c r="D99" s="305"/>
      <c r="E99" s="305"/>
      <c r="F99" s="305"/>
      <c r="G99" s="305"/>
      <c r="H99" s="305"/>
      <c r="I99" s="305"/>
      <c r="J99" s="305"/>
      <c r="K99" s="305"/>
    </row>
    <row r="100" spans="1:11" x14ac:dyDescent="0.2">
      <c r="A100" s="305"/>
      <c r="B100" s="305"/>
      <c r="C100" s="305"/>
      <c r="D100" s="305"/>
      <c r="E100" s="305"/>
      <c r="F100" s="305"/>
      <c r="G100" s="305"/>
      <c r="H100" s="305"/>
      <c r="I100" s="305"/>
      <c r="J100" s="305"/>
      <c r="K100" s="305"/>
    </row>
    <row r="101" spans="1:11" x14ac:dyDescent="0.2">
      <c r="A101" s="305"/>
      <c r="B101" s="305"/>
      <c r="C101" s="305"/>
      <c r="D101" s="305"/>
      <c r="E101" s="305"/>
      <c r="F101" s="305"/>
      <c r="G101" s="305"/>
      <c r="H101" s="305"/>
      <c r="I101" s="305"/>
      <c r="J101" s="305"/>
      <c r="K101" s="305"/>
    </row>
    <row r="102" spans="1:11" x14ac:dyDescent="0.2">
      <c r="A102" s="305"/>
      <c r="B102" s="305"/>
      <c r="C102" s="305"/>
      <c r="D102" s="305"/>
      <c r="E102" s="305"/>
      <c r="F102" s="305"/>
      <c r="G102" s="305"/>
      <c r="H102" s="305"/>
      <c r="I102" s="305"/>
      <c r="J102" s="305"/>
      <c r="K102" s="305"/>
    </row>
    <row r="103" spans="1:11" x14ac:dyDescent="0.2">
      <c r="A103" s="305"/>
      <c r="B103" s="305"/>
      <c r="C103" s="305"/>
      <c r="D103" s="305"/>
      <c r="E103" s="305"/>
      <c r="F103" s="305"/>
      <c r="G103" s="305"/>
      <c r="H103" s="305"/>
      <c r="I103" s="305"/>
      <c r="J103" s="305"/>
      <c r="K103" s="305"/>
    </row>
    <row r="104" spans="1:11" x14ac:dyDescent="0.2">
      <c r="A104" s="305"/>
      <c r="B104" s="305"/>
      <c r="C104" s="305"/>
      <c r="D104" s="305"/>
      <c r="E104" s="305"/>
      <c r="F104" s="305"/>
      <c r="G104" s="305"/>
      <c r="H104" s="305"/>
      <c r="I104" s="305"/>
      <c r="J104" s="305"/>
      <c r="K104" s="305"/>
    </row>
    <row r="105" spans="1:11" x14ac:dyDescent="0.2">
      <c r="A105" s="305"/>
      <c r="B105" s="305"/>
      <c r="C105" s="305"/>
      <c r="D105" s="305"/>
      <c r="E105" s="305"/>
      <c r="F105" s="305"/>
      <c r="G105" s="305"/>
      <c r="H105" s="305"/>
      <c r="I105" s="305"/>
      <c r="J105" s="305"/>
      <c r="K105" s="305"/>
    </row>
    <row r="106" spans="1:11" x14ac:dyDescent="0.2">
      <c r="A106" s="305"/>
      <c r="B106" s="305"/>
      <c r="C106" s="305"/>
      <c r="D106" s="305"/>
      <c r="E106" s="305"/>
      <c r="F106" s="305"/>
      <c r="G106" s="305"/>
      <c r="H106" s="305"/>
      <c r="I106" s="305"/>
      <c r="J106" s="305"/>
      <c r="K106" s="305"/>
    </row>
    <row r="107" spans="1:11" x14ac:dyDescent="0.2">
      <c r="A107" s="305"/>
      <c r="B107" s="305"/>
      <c r="C107" s="305"/>
      <c r="D107" s="305"/>
      <c r="E107" s="305"/>
      <c r="F107" s="305"/>
      <c r="G107" s="305"/>
      <c r="H107" s="305"/>
      <c r="I107" s="305"/>
      <c r="J107" s="305"/>
      <c r="K107" s="305"/>
    </row>
    <row r="108" spans="1:11" x14ac:dyDescent="0.2">
      <c r="A108" s="305"/>
      <c r="B108" s="305"/>
      <c r="C108" s="305"/>
      <c r="D108" s="305"/>
      <c r="E108" s="305"/>
      <c r="F108" s="305"/>
      <c r="G108" s="305"/>
      <c r="H108" s="305"/>
      <c r="I108" s="305"/>
      <c r="J108" s="305"/>
      <c r="K108" s="305"/>
    </row>
    <row r="109" spans="1:11" x14ac:dyDescent="0.2">
      <c r="A109" s="305"/>
      <c r="B109" s="305"/>
      <c r="C109" s="305"/>
      <c r="D109" s="305"/>
      <c r="E109" s="305"/>
      <c r="F109" s="305"/>
      <c r="G109" s="305"/>
      <c r="H109" s="305"/>
      <c r="I109" s="305"/>
      <c r="J109" s="305"/>
      <c r="K109" s="305"/>
    </row>
    <row r="110" spans="1:11" x14ac:dyDescent="0.2">
      <c r="A110" s="305"/>
      <c r="B110" s="305"/>
      <c r="C110" s="305"/>
      <c r="D110" s="305"/>
      <c r="E110" s="305"/>
      <c r="F110" s="305"/>
      <c r="G110" s="305"/>
      <c r="H110" s="305"/>
      <c r="I110" s="305"/>
      <c r="J110" s="305"/>
      <c r="K110" s="305"/>
    </row>
    <row r="111" spans="1:11" x14ac:dyDescent="0.2">
      <c r="A111" s="305"/>
      <c r="B111" s="305"/>
      <c r="C111" s="305"/>
      <c r="D111" s="305"/>
      <c r="E111" s="305"/>
      <c r="F111" s="305"/>
      <c r="G111" s="305"/>
      <c r="H111" s="305"/>
      <c r="I111" s="305"/>
      <c r="J111" s="305"/>
      <c r="K111" s="305"/>
    </row>
    <row r="112" spans="1:11" x14ac:dyDescent="0.2">
      <c r="A112" s="305"/>
      <c r="B112" s="305"/>
      <c r="C112" s="305"/>
      <c r="D112" s="305"/>
      <c r="E112" s="305"/>
      <c r="F112" s="305"/>
      <c r="G112" s="305"/>
      <c r="H112" s="305"/>
      <c r="I112" s="305"/>
      <c r="J112" s="305"/>
      <c r="K112" s="305"/>
    </row>
    <row r="113" spans="1:11" x14ac:dyDescent="0.2">
      <c r="A113" s="305"/>
      <c r="B113" s="305"/>
      <c r="C113" s="305"/>
      <c r="D113" s="305"/>
      <c r="E113" s="305"/>
      <c r="F113" s="305"/>
      <c r="G113" s="305"/>
      <c r="H113" s="305"/>
      <c r="I113" s="305"/>
      <c r="J113" s="305"/>
      <c r="K113" s="305"/>
    </row>
    <row r="114" spans="1:11" x14ac:dyDescent="0.2">
      <c r="A114" s="305"/>
      <c r="B114" s="305"/>
      <c r="C114" s="305"/>
      <c r="D114" s="305"/>
      <c r="E114" s="305"/>
      <c r="F114" s="305"/>
      <c r="G114" s="305"/>
      <c r="H114" s="305"/>
      <c r="I114" s="305"/>
      <c r="J114" s="305"/>
      <c r="K114" s="305"/>
    </row>
    <row r="115" spans="1:11" x14ac:dyDescent="0.2">
      <c r="A115" s="305"/>
      <c r="B115" s="305"/>
      <c r="C115" s="305"/>
      <c r="D115" s="305"/>
      <c r="E115" s="305"/>
      <c r="F115" s="305"/>
      <c r="G115" s="305"/>
      <c r="H115" s="305"/>
      <c r="I115" s="305"/>
      <c r="J115" s="305"/>
      <c r="K115" s="305"/>
    </row>
    <row r="116" spans="1:11" x14ac:dyDescent="0.2">
      <c r="A116" s="305"/>
      <c r="B116" s="305"/>
      <c r="C116" s="305"/>
      <c r="D116" s="305"/>
      <c r="E116" s="305"/>
      <c r="F116" s="305"/>
      <c r="G116" s="305"/>
      <c r="H116" s="305"/>
      <c r="I116" s="305"/>
      <c r="J116" s="305"/>
      <c r="K116" s="305"/>
    </row>
    <row r="117" spans="1:11" x14ac:dyDescent="0.2">
      <c r="A117" s="305"/>
      <c r="B117" s="305"/>
      <c r="C117" s="305"/>
      <c r="D117" s="305"/>
      <c r="E117" s="305"/>
      <c r="F117" s="305"/>
      <c r="G117" s="305"/>
      <c r="H117" s="305"/>
      <c r="I117" s="305"/>
      <c r="J117" s="305"/>
      <c r="K117" s="305"/>
    </row>
    <row r="118" spans="1:11" x14ac:dyDescent="0.2">
      <c r="A118" s="305"/>
      <c r="B118" s="305"/>
      <c r="C118" s="305"/>
      <c r="D118" s="305"/>
      <c r="E118" s="305"/>
      <c r="F118" s="305"/>
      <c r="G118" s="305"/>
      <c r="H118" s="305"/>
      <c r="I118" s="305"/>
      <c r="J118" s="305"/>
      <c r="K118" s="305"/>
    </row>
    <row r="119" spans="1:11" x14ac:dyDescent="0.2">
      <c r="A119" s="305"/>
      <c r="B119" s="305"/>
      <c r="C119" s="305"/>
      <c r="D119" s="305"/>
      <c r="E119" s="305"/>
      <c r="F119" s="305"/>
      <c r="G119" s="305"/>
      <c r="H119" s="305"/>
      <c r="I119" s="305"/>
      <c r="J119" s="305"/>
      <c r="K119" s="305"/>
    </row>
    <row r="120" spans="1:11" x14ac:dyDescent="0.2">
      <c r="A120" s="305"/>
      <c r="B120" s="305"/>
      <c r="C120" s="305"/>
      <c r="D120" s="305"/>
      <c r="E120" s="305"/>
      <c r="F120" s="305"/>
      <c r="G120" s="305"/>
      <c r="H120" s="305"/>
      <c r="I120" s="305"/>
      <c r="J120" s="305"/>
      <c r="K120" s="305"/>
    </row>
  </sheetData>
  <pageMargins left="0" right="0" top="0.5" bottom="0.5" header="0.5" footer="0.5"/>
  <pageSetup scale="8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P102"/>
  <sheetViews>
    <sheetView zoomScaleNormal="100" workbookViewId="0">
      <selection activeCell="C38" sqref="C38"/>
    </sheetView>
  </sheetViews>
  <sheetFormatPr defaultRowHeight="12.75" x14ac:dyDescent="0.2"/>
  <cols>
    <col min="1" max="1" width="9.140625" style="186"/>
    <col min="2" max="2" width="2.5703125" style="186" customWidth="1"/>
    <col min="3" max="12" width="12.28515625" style="186" customWidth="1"/>
    <col min="13" max="13" width="2.28515625" style="186" customWidth="1"/>
    <col min="14" max="14" width="14.85546875" style="186" bestFit="1" customWidth="1"/>
    <col min="15" max="16384" width="9.140625" style="186"/>
  </cols>
  <sheetData>
    <row r="1" spans="1:16" x14ac:dyDescent="0.2">
      <c r="A1" s="320" t="str">
        <f>"Residential Tonnages by Commodity:  "&amp;TEXT(A7,"mmmm")&amp;" - "&amp;TEXT(A18,"mmmm")</f>
        <v>Residential Tonnages by Commodity:  May - April</v>
      </c>
      <c r="B1" s="319"/>
    </row>
    <row r="2" spans="1:16" x14ac:dyDescent="0.2">
      <c r="A2" s="318" t="str">
        <f>'Value (2)'!A2</f>
        <v>Kent-Meridian Disposal</v>
      </c>
      <c r="B2" s="318"/>
    </row>
    <row r="3" spans="1:16" x14ac:dyDescent="0.2">
      <c r="A3" s="318"/>
      <c r="B3" s="318"/>
    </row>
    <row r="4" spans="1:16" x14ac:dyDescent="0.2">
      <c r="A4" s="319"/>
      <c r="B4" s="326"/>
      <c r="C4" s="316" t="s">
        <v>21</v>
      </c>
      <c r="D4" s="316" t="s">
        <v>22</v>
      </c>
      <c r="E4" s="316" t="s">
        <v>55</v>
      </c>
      <c r="F4" s="316" t="s">
        <v>23</v>
      </c>
      <c r="G4" s="316" t="s">
        <v>24</v>
      </c>
      <c r="H4" s="316" t="s">
        <v>25</v>
      </c>
      <c r="I4" s="316" t="s">
        <v>26</v>
      </c>
      <c r="J4" s="316" t="s">
        <v>27</v>
      </c>
      <c r="K4" s="316" t="s">
        <v>28</v>
      </c>
      <c r="L4" s="316" t="s">
        <v>29</v>
      </c>
      <c r="M4" s="316"/>
      <c r="N4" s="316" t="s">
        <v>30</v>
      </c>
    </row>
    <row r="5" spans="1:16" s="322" customFormat="1" x14ac:dyDescent="0.2">
      <c r="A5" s="325"/>
      <c r="B5" s="325"/>
      <c r="C5" s="323">
        <v>55</v>
      </c>
      <c r="D5" s="324">
        <v>57</v>
      </c>
      <c r="E5" s="324">
        <v>58</v>
      </c>
      <c r="F5" s="323">
        <v>53</v>
      </c>
      <c r="G5" s="323">
        <v>50</v>
      </c>
      <c r="H5" s="323">
        <v>60</v>
      </c>
      <c r="I5" s="323">
        <v>54</v>
      </c>
      <c r="J5" s="323">
        <v>54</v>
      </c>
      <c r="K5" s="323">
        <v>51</v>
      </c>
      <c r="L5" s="323">
        <v>59</v>
      </c>
    </row>
    <row r="6" spans="1:16" x14ac:dyDescent="0.2">
      <c r="A6" s="313"/>
      <c r="B6" s="305"/>
      <c r="C6" s="306"/>
      <c r="D6" s="306"/>
      <c r="E6" s="306"/>
      <c r="F6" s="306"/>
      <c r="G6" s="306"/>
      <c r="H6" s="306"/>
      <c r="I6" s="306"/>
      <c r="J6" s="306"/>
      <c r="L6" s="305"/>
      <c r="M6" s="305"/>
      <c r="N6" s="306" t="s">
        <v>31</v>
      </c>
    </row>
    <row r="7" spans="1:16" x14ac:dyDescent="0.2">
      <c r="A7" s="313">
        <f>'Single Family (2)'!C6</f>
        <v>42491</v>
      </c>
      <c r="B7" s="305"/>
      <c r="C7" s="307">
        <f>HLOOKUP($A7,'Single Family (2)'!$C$6:$N$79,C$5,FALSE)</f>
        <v>4.2509249999999996</v>
      </c>
      <c r="D7" s="311">
        <f>HLOOKUP($A7,'Single Family (2)'!$C$6:$N$79,D$5,FALSE)</f>
        <v>100.208472</v>
      </c>
      <c r="E7" s="311">
        <f>HLOOKUP($A7,'Single Family (2)'!$C$6:$N$79,E$5,FALSE)</f>
        <v>0</v>
      </c>
      <c r="F7" s="307">
        <f>HLOOKUP($A7,'Single Family (2)'!$C$6:$N$79,F$5,FALSE)</f>
        <v>9.352034999999999</v>
      </c>
      <c r="G7" s="307">
        <f>HLOOKUP($A7,'Single Family (2)'!$C$6:$N$79,G$5,FALSE)</f>
        <v>110.52405</v>
      </c>
      <c r="H7" s="307">
        <f>HLOOKUP($A7,'Single Family (2)'!$C$6:$N$79,H$5,FALSE)</f>
        <v>182.39302199999986</v>
      </c>
      <c r="I7" s="307">
        <f>HLOOKUP($A7,'Single Family (2)'!$C$6:$N$79,I$5,FALSE)/2</f>
        <v>12.7244355</v>
      </c>
      <c r="J7" s="307">
        <f>HLOOKUP($A7,'Single Family (2)'!$C$6:$N$79,J$5,FALSE)/2</f>
        <v>12.7244355</v>
      </c>
      <c r="K7" s="307">
        <f>HLOOKUP($A7,'Single Family (2)'!$C$6:$N$79,K$5,FALSE)</f>
        <v>101.00197799999999</v>
      </c>
      <c r="L7" s="311">
        <f>HLOOKUP($A7,'Single Family (2)'!$C$6:$N$79,L$5,FALSE)</f>
        <v>33.610647000000071</v>
      </c>
      <c r="M7" s="70"/>
      <c r="N7" s="70">
        <f t="shared" ref="N7:N18" si="0">SUM(C7:L7)</f>
        <v>566.79</v>
      </c>
      <c r="P7" s="321"/>
    </row>
    <row r="8" spans="1:16" x14ac:dyDescent="0.2">
      <c r="A8" s="313">
        <f t="shared" ref="A8:A18" si="1">EOMONTH(A7,1)</f>
        <v>42551</v>
      </c>
      <c r="B8" s="305"/>
      <c r="C8" s="307">
        <f>HLOOKUP($A8,'Single Family (2)'!$C$6:$N$79,C$5,FALSE)</f>
        <v>4.5698249999999998</v>
      </c>
      <c r="D8" s="311">
        <f>HLOOKUP($A8,'Single Family (2)'!$C$6:$N$79,D$5,FALSE)</f>
        <v>107.72600799999999</v>
      </c>
      <c r="E8" s="311">
        <f>HLOOKUP($A8,'Single Family (2)'!$C$6:$N$79,E$5,FALSE)</f>
        <v>0</v>
      </c>
      <c r="F8" s="307">
        <f>HLOOKUP($A8,'Single Family (2)'!$C$6:$N$79,F$5,FALSE)</f>
        <v>10.053614999999999</v>
      </c>
      <c r="G8" s="307">
        <f>HLOOKUP($A8,'Single Family (2)'!$C$6:$N$79,G$5,FALSE)</f>
        <v>118.81545</v>
      </c>
      <c r="H8" s="307">
        <f>HLOOKUP($A8,'Single Family (2)'!$C$6:$N$79,H$5,FALSE)</f>
        <v>196.0759579999999</v>
      </c>
      <c r="I8" s="307">
        <f>HLOOKUP($A8,'Single Family (2)'!$C$6:$N$79,I$5,FALSE)/2</f>
        <v>13.679009499999999</v>
      </c>
      <c r="J8" s="307">
        <f>HLOOKUP($A8,'Single Family (2)'!$C$6:$N$79,J$5,FALSE)/2</f>
        <v>13.679009499999999</v>
      </c>
      <c r="K8" s="307">
        <f>HLOOKUP($A8,'Single Family (2)'!$C$6:$N$79,K$5,FALSE)</f>
        <v>108.57904199999999</v>
      </c>
      <c r="L8" s="311">
        <f>HLOOKUP($A8,'Single Family (2)'!$C$6:$N$79,L$5,FALSE)</f>
        <v>36.13208300000008</v>
      </c>
      <c r="M8" s="70"/>
      <c r="N8" s="70">
        <f t="shared" si="0"/>
        <v>609.30999999999995</v>
      </c>
      <c r="P8" s="321"/>
    </row>
    <row r="9" spans="1:16" x14ac:dyDescent="0.2">
      <c r="A9" s="313">
        <f t="shared" si="1"/>
        <v>42582</v>
      </c>
      <c r="B9" s="305"/>
      <c r="C9" s="307">
        <f>HLOOKUP($A9,'Single Family (2)'!$C$6:$N$79,C$5,FALSE)</f>
        <v>4.1840999999999999</v>
      </c>
      <c r="D9" s="311">
        <f>HLOOKUP($A9,'Single Family (2)'!$C$6:$N$79,D$5,FALSE)</f>
        <v>98.633184</v>
      </c>
      <c r="E9" s="311">
        <f>HLOOKUP($A9,'Single Family (2)'!$C$6:$N$79,E$5,FALSE)</f>
        <v>0</v>
      </c>
      <c r="F9" s="307">
        <f>HLOOKUP($A9,'Single Family (2)'!$C$6:$N$79,F$5,FALSE)</f>
        <v>9.2050200000000011</v>
      </c>
      <c r="G9" s="307">
        <f>HLOOKUP($A9,'Single Family (2)'!$C$6:$N$79,G$5,FALSE)</f>
        <v>108.78660000000001</v>
      </c>
      <c r="H9" s="307">
        <f>HLOOKUP($A9,'Single Family (2)'!$C$6:$N$79,H$5,FALSE)</f>
        <v>179.52578399999993</v>
      </c>
      <c r="I9" s="307">
        <f>HLOOKUP($A9,'Single Family (2)'!$C$6:$N$79,I$5,FALSE)/2</f>
        <v>12.524406000000001</v>
      </c>
      <c r="J9" s="307">
        <f>HLOOKUP($A9,'Single Family (2)'!$C$6:$N$79,J$5,FALSE)/2</f>
        <v>12.524406000000001</v>
      </c>
      <c r="K9" s="307">
        <f>HLOOKUP($A9,'Single Family (2)'!$C$6:$N$79,K$5,FALSE)</f>
        <v>99.414215999999996</v>
      </c>
      <c r="L9" s="311">
        <f>HLOOKUP($A9,'Single Family (2)'!$C$6:$N$79,L$5,FALSE)</f>
        <v>33.082284000000072</v>
      </c>
      <c r="M9" s="70"/>
      <c r="N9" s="70">
        <f t="shared" si="0"/>
        <v>557.88</v>
      </c>
      <c r="P9" s="321"/>
    </row>
    <row r="10" spans="1:16" x14ac:dyDescent="0.2">
      <c r="A10" s="313">
        <f t="shared" si="1"/>
        <v>42613</v>
      </c>
      <c r="B10" s="305"/>
      <c r="C10" s="307">
        <f>HLOOKUP($A10,'Single Family (2)'!$C$6:$N$79,C$5,FALSE)</f>
        <v>4.8889500000000004</v>
      </c>
      <c r="D10" s="311">
        <f>HLOOKUP($A10,'Single Family (2)'!$C$6:$N$79,D$5,FALSE)</f>
        <v>115.24884800000001</v>
      </c>
      <c r="E10" s="311">
        <f>HLOOKUP($A10,'Single Family (2)'!$C$6:$N$79,E$5,FALSE)</f>
        <v>0</v>
      </c>
      <c r="F10" s="307">
        <f>HLOOKUP($A10,'Single Family (2)'!$C$6:$N$79,F$5,FALSE)</f>
        <v>10.755690000000001</v>
      </c>
      <c r="G10" s="307">
        <f>HLOOKUP($A10,'Single Family (2)'!$C$6:$N$79,G$5,FALSE)</f>
        <v>127.1127</v>
      </c>
      <c r="H10" s="307">
        <f>HLOOKUP($A10,'Single Family (2)'!$C$6:$N$79,H$5,FALSE)</f>
        <v>209.7685479999999</v>
      </c>
      <c r="I10" s="307">
        <f>HLOOKUP($A10,'Single Family (2)'!$C$6:$N$79,I$5,FALSE)/2</f>
        <v>14.634257000000002</v>
      </c>
      <c r="J10" s="307">
        <f>HLOOKUP($A10,'Single Family (2)'!$C$6:$N$79,J$5,FALSE)/2</f>
        <v>14.634257000000002</v>
      </c>
      <c r="K10" s="307">
        <f>HLOOKUP($A10,'Single Family (2)'!$C$6:$N$79,K$5,FALSE)</f>
        <v>116.161452</v>
      </c>
      <c r="L10" s="311">
        <f>HLOOKUP($A10,'Single Family (2)'!$C$6:$N$79,L$5,FALSE)</f>
        <v>38.655298000000087</v>
      </c>
      <c r="M10" s="70"/>
      <c r="N10" s="70">
        <f t="shared" si="0"/>
        <v>651.86</v>
      </c>
      <c r="P10" s="321"/>
    </row>
    <row r="11" spans="1:16" x14ac:dyDescent="0.2">
      <c r="A11" s="313">
        <f t="shared" si="1"/>
        <v>42643</v>
      </c>
      <c r="B11" s="305"/>
      <c r="C11" s="307">
        <f>HLOOKUP($A11,'Single Family (2)'!$C$6:$N$79,C$5,FALSE)</f>
        <v>4.2421499999999996</v>
      </c>
      <c r="D11" s="311">
        <f>HLOOKUP($A11,'Single Family (2)'!$C$6:$N$79,D$5,FALSE)</f>
        <v>100.00161600000001</v>
      </c>
      <c r="E11" s="311">
        <f>HLOOKUP($A11,'Single Family (2)'!$C$6:$N$79,E$5,FALSE)</f>
        <v>0</v>
      </c>
      <c r="F11" s="307">
        <f>HLOOKUP($A11,'Single Family (2)'!$C$6:$N$79,F$5,FALSE)</f>
        <v>9.3327299999999997</v>
      </c>
      <c r="G11" s="307">
        <f>HLOOKUP($A11,'Single Family (2)'!$C$6:$N$79,G$5,FALSE)</f>
        <v>110.2959</v>
      </c>
      <c r="H11" s="307">
        <f>HLOOKUP($A11,'Single Family (2)'!$C$6:$N$79,H$5,FALSE)</f>
        <v>182.01651599999991</v>
      </c>
      <c r="I11" s="307">
        <f>HLOOKUP($A11,'Single Family (2)'!$C$6:$N$79,I$5,FALSE)/2</f>
        <v>12.698169</v>
      </c>
      <c r="J11" s="307">
        <f>HLOOKUP($A11,'Single Family (2)'!$C$6:$N$79,J$5,FALSE)/2</f>
        <v>12.698169</v>
      </c>
      <c r="K11" s="307">
        <f>HLOOKUP($A11,'Single Family (2)'!$C$6:$N$79,K$5,FALSE)</f>
        <v>100.79348399999999</v>
      </c>
      <c r="L11" s="311">
        <f>HLOOKUP($A11,'Single Family (2)'!$C$6:$N$79,L$5,FALSE)</f>
        <v>33.541266000000071</v>
      </c>
      <c r="M11" s="70"/>
      <c r="N11" s="70">
        <f t="shared" si="0"/>
        <v>565.62</v>
      </c>
      <c r="P11" s="321"/>
    </row>
    <row r="12" spans="1:16" x14ac:dyDescent="0.2">
      <c r="A12" s="313">
        <f t="shared" si="1"/>
        <v>42674</v>
      </c>
      <c r="B12" s="305"/>
      <c r="C12" s="307">
        <f>HLOOKUP($A12,'Single Family (2)'!$C$6:$N$79,C$5,FALSE)</f>
        <v>4.1253749999999991</v>
      </c>
      <c r="D12" s="311">
        <f>HLOOKUP($A12,'Single Family (2)'!$C$6:$N$79,D$5,FALSE)</f>
        <v>97.248840000000001</v>
      </c>
      <c r="E12" s="311">
        <f>HLOOKUP($A12,'Single Family (2)'!$C$6:$N$79,E$5,FALSE)</f>
        <v>0</v>
      </c>
      <c r="F12" s="307">
        <f>HLOOKUP($A12,'Single Family (2)'!$C$6:$N$79,F$5,FALSE)</f>
        <v>9.075825</v>
      </c>
      <c r="G12" s="307">
        <f>HLOOKUP($A12,'Single Family (2)'!$C$6:$N$79,G$5,FALSE)</f>
        <v>107.25975</v>
      </c>
      <c r="H12" s="307">
        <f>HLOOKUP($A12,'Single Family (2)'!$C$6:$N$79,H$5,FALSE)</f>
        <v>177.00608999999986</v>
      </c>
      <c r="I12" s="307">
        <f>HLOOKUP($A12,'Single Family (2)'!$C$6:$N$79,I$5,FALSE)/2</f>
        <v>12.348622499999999</v>
      </c>
      <c r="J12" s="307">
        <f>HLOOKUP($A12,'Single Family (2)'!$C$6:$N$79,J$5,FALSE)/2</f>
        <v>12.348622499999999</v>
      </c>
      <c r="K12" s="307">
        <f>HLOOKUP($A12,'Single Family (2)'!$C$6:$N$79,K$5,FALSE)</f>
        <v>98.018909999999991</v>
      </c>
      <c r="L12" s="311">
        <f>HLOOKUP($A12,'Single Family (2)'!$C$6:$N$79,L$5,FALSE)</f>
        <v>32.617965000000069</v>
      </c>
      <c r="M12" s="70"/>
      <c r="N12" s="70">
        <f t="shared" si="0"/>
        <v>550.04999999999984</v>
      </c>
      <c r="P12" s="321"/>
    </row>
    <row r="13" spans="1:16" x14ac:dyDescent="0.2">
      <c r="A13" s="313">
        <f t="shared" si="1"/>
        <v>42704</v>
      </c>
      <c r="B13" s="305"/>
      <c r="C13" s="307">
        <f>HLOOKUP($A13,'Single Family (2)'!$C$6:$N$79,C$5,FALSE)</f>
        <v>4.0448249999999994</v>
      </c>
      <c r="D13" s="311">
        <f>HLOOKUP($A13,'Single Family (2)'!$C$6:$N$79,D$5,FALSE)</f>
        <v>95.350008000000003</v>
      </c>
      <c r="E13" s="311">
        <f>HLOOKUP($A13,'Single Family (2)'!$C$6:$N$79,E$5,FALSE)</f>
        <v>0</v>
      </c>
      <c r="F13" s="307">
        <f>HLOOKUP($A13,'Single Family (2)'!$C$6:$N$79,F$5,FALSE)</f>
        <v>8.8986149999999995</v>
      </c>
      <c r="G13" s="307">
        <f>HLOOKUP($A13,'Single Family (2)'!$C$6:$N$79,G$5,FALSE)</f>
        <v>105.16544999999999</v>
      </c>
      <c r="H13" s="307">
        <f>HLOOKUP($A13,'Single Family (2)'!$C$6:$N$79,H$5,FALSE)</f>
        <v>173.54995799999989</v>
      </c>
      <c r="I13" s="307">
        <f>HLOOKUP($A13,'Single Family (2)'!$C$6:$N$79,I$5,FALSE)/2</f>
        <v>12.107509499999999</v>
      </c>
      <c r="J13" s="307">
        <f>HLOOKUP($A13,'Single Family (2)'!$C$6:$N$79,J$5,FALSE)/2</f>
        <v>12.107509499999999</v>
      </c>
      <c r="K13" s="307">
        <f>HLOOKUP($A13,'Single Family (2)'!$C$6:$N$79,K$5,FALSE)</f>
        <v>96.105041999999983</v>
      </c>
      <c r="L13" s="311">
        <f>HLOOKUP($A13,'Single Family (2)'!$C$6:$N$79,L$5,FALSE)</f>
        <v>31.981083000000066</v>
      </c>
      <c r="M13" s="70"/>
      <c r="N13" s="70">
        <f t="shared" si="0"/>
        <v>539.30999999999995</v>
      </c>
      <c r="P13" s="321"/>
    </row>
    <row r="14" spans="1:16" x14ac:dyDescent="0.2">
      <c r="A14" s="313">
        <f t="shared" si="1"/>
        <v>42735</v>
      </c>
      <c r="B14" s="305"/>
      <c r="C14" s="307">
        <f>HLOOKUP($A14,'Single Family (2)'!$C$6:$N$79,C$5,FALSE)</f>
        <v>3.6493499999999996</v>
      </c>
      <c r="D14" s="311">
        <f>HLOOKUP($A14,'Single Family (2)'!$C$6:$N$79,D$5,FALSE)</f>
        <v>86.027343999999999</v>
      </c>
      <c r="E14" s="311">
        <f>HLOOKUP($A14,'Single Family (2)'!$C$6:$N$79,E$5,FALSE)</f>
        <v>0</v>
      </c>
      <c r="F14" s="307">
        <f>HLOOKUP($A14,'Single Family (2)'!$C$6:$N$79,F$5,FALSE)</f>
        <v>8.0285700000000002</v>
      </c>
      <c r="G14" s="307">
        <f>HLOOKUP($A14,'Single Family (2)'!$C$6:$N$79,G$5,FALSE)</f>
        <v>94.883099999999999</v>
      </c>
      <c r="H14" s="307">
        <f>HLOOKUP($A14,'Single Family (2)'!$C$6:$N$79,H$5,FALSE)</f>
        <v>156.58144399999992</v>
      </c>
      <c r="I14" s="307">
        <f>HLOOKUP($A14,'Single Family (2)'!$C$6:$N$79,I$5,FALSE)/2</f>
        <v>10.923721</v>
      </c>
      <c r="J14" s="307">
        <f>HLOOKUP($A14,'Single Family (2)'!$C$6:$N$79,J$5,FALSE)/2</f>
        <v>10.923721</v>
      </c>
      <c r="K14" s="307">
        <f>HLOOKUP($A14,'Single Family (2)'!$C$6:$N$79,K$5,FALSE)</f>
        <v>86.708556000000002</v>
      </c>
      <c r="L14" s="311">
        <f>HLOOKUP($A14,'Single Family (2)'!$C$6:$N$79,L$5,FALSE)</f>
        <v>28.854194000000064</v>
      </c>
      <c r="M14" s="70"/>
      <c r="N14" s="70">
        <f t="shared" si="0"/>
        <v>486.58</v>
      </c>
      <c r="P14" s="321"/>
    </row>
    <row r="15" spans="1:16" x14ac:dyDescent="0.2">
      <c r="A15" s="313">
        <f t="shared" si="1"/>
        <v>42766</v>
      </c>
      <c r="B15" s="305"/>
      <c r="C15" s="307">
        <f>HLOOKUP($A15,'Single Family (2)'!$C$6:$N$79,C$5,FALSE)</f>
        <v>4.5511499999999998</v>
      </c>
      <c r="D15" s="311">
        <f>HLOOKUP($A15,'Single Family (2)'!$C$6:$N$79,D$5,FALSE)</f>
        <v>107.28577600000001</v>
      </c>
      <c r="E15" s="311">
        <f>HLOOKUP($A15,'Single Family (2)'!$C$6:$N$79,E$5,FALSE)</f>
        <v>0</v>
      </c>
      <c r="F15" s="307">
        <f>HLOOKUP($A15,'Single Family (2)'!$C$6:$N$79,F$5,FALSE)</f>
        <v>10.012530000000002</v>
      </c>
      <c r="G15" s="307">
        <f>HLOOKUP($A15,'Single Family (2)'!$C$6:$N$79,G$5,FALSE)</f>
        <v>118.32990000000001</v>
      </c>
      <c r="H15" s="307">
        <f>HLOOKUP($A15,'Single Family (2)'!$C$6:$N$79,H$5,FALSE)</f>
        <v>195.27467599999989</v>
      </c>
      <c r="I15" s="307">
        <f>HLOOKUP($A15,'Single Family (2)'!$C$6:$N$79,I$5,FALSE)/2</f>
        <v>13.623109000000001</v>
      </c>
      <c r="J15" s="307">
        <f>HLOOKUP($A15,'Single Family (2)'!$C$6:$N$79,J$5,FALSE)/2</f>
        <v>13.623109000000001</v>
      </c>
      <c r="K15" s="307">
        <f>HLOOKUP($A15,'Single Family (2)'!$C$6:$N$79,K$5,FALSE)</f>
        <v>108.13532400000001</v>
      </c>
      <c r="L15" s="311">
        <f>HLOOKUP($A15,'Single Family (2)'!$C$6:$N$79,L$5,FALSE)</f>
        <v>35.984426000000084</v>
      </c>
      <c r="M15" s="70"/>
      <c r="N15" s="70">
        <f t="shared" si="0"/>
        <v>606.81999999999994</v>
      </c>
      <c r="P15" s="321"/>
    </row>
    <row r="16" spans="1:16" x14ac:dyDescent="0.2">
      <c r="A16" s="313">
        <f t="shared" si="1"/>
        <v>42794</v>
      </c>
      <c r="B16" s="305"/>
      <c r="C16" s="307">
        <f>HLOOKUP($A16,'Single Family (2)'!$C$6:$N$79,C$5,FALSE)</f>
        <v>3.5625749999999998</v>
      </c>
      <c r="D16" s="311">
        <f>HLOOKUP($A16,'Single Family (2)'!$C$6:$N$79,D$5,FALSE)</f>
        <v>83.981768000000002</v>
      </c>
      <c r="E16" s="311">
        <f>HLOOKUP($A16,'Single Family (2)'!$C$6:$N$79,E$5,FALSE)</f>
        <v>0</v>
      </c>
      <c r="F16" s="307">
        <f>HLOOKUP($A16,'Single Family (2)'!$C$6:$N$79,F$5,FALSE)</f>
        <v>7.8376650000000003</v>
      </c>
      <c r="G16" s="307">
        <f>HLOOKUP($A16,'Single Family (2)'!$C$6:$N$79,G$5,FALSE)</f>
        <v>92.626950000000008</v>
      </c>
      <c r="H16" s="307">
        <f>HLOOKUP($A16,'Single Family (2)'!$C$6:$N$79,H$5,FALSE)</f>
        <v>152.85821799999997</v>
      </c>
      <c r="I16" s="307">
        <f>HLOOKUP($A16,'Single Family (2)'!$C$6:$N$79,I$5,FALSE)/2</f>
        <v>10.6639745</v>
      </c>
      <c r="J16" s="307">
        <f>HLOOKUP($A16,'Single Family (2)'!$C$6:$N$79,J$5,FALSE)/2</f>
        <v>10.6639745</v>
      </c>
      <c r="K16" s="307">
        <f>HLOOKUP($A16,'Single Family (2)'!$C$6:$N$79,K$5,FALSE)</f>
        <v>84.646782000000002</v>
      </c>
      <c r="L16" s="311">
        <f>HLOOKUP($A16,'Single Family (2)'!$C$6:$N$79,L$5,FALSE)</f>
        <v>28.168093000000063</v>
      </c>
      <c r="M16" s="70"/>
      <c r="N16" s="70">
        <f t="shared" si="0"/>
        <v>475.01000000000005</v>
      </c>
      <c r="P16" s="321"/>
    </row>
    <row r="17" spans="1:16" x14ac:dyDescent="0.2">
      <c r="A17" s="313">
        <f t="shared" si="1"/>
        <v>42825</v>
      </c>
      <c r="B17" s="305"/>
      <c r="C17" s="307">
        <f>HLOOKUP($A17,'Single Family (2)'!$C$6:$N$79,C$5,FALSE)</f>
        <v>4.3248749999999996</v>
      </c>
      <c r="D17" s="311">
        <f>HLOOKUP($A17,'Single Family (2)'!$C$6:$N$79,D$5,FALSE)</f>
        <v>101.95172000000001</v>
      </c>
      <c r="E17" s="311">
        <f>HLOOKUP($A17,'Single Family (2)'!$C$6:$N$79,E$5,FALSE)</f>
        <v>0</v>
      </c>
      <c r="F17" s="307">
        <f>HLOOKUP($A17,'Single Family (2)'!$C$6:$N$79,F$5,FALSE)</f>
        <v>9.5147250000000003</v>
      </c>
      <c r="G17" s="307">
        <f>HLOOKUP($A17,'Single Family (2)'!$C$6:$N$79,G$5,FALSE)</f>
        <v>112.44674999999999</v>
      </c>
      <c r="H17" s="307">
        <f>HLOOKUP($A17,'Single Family (2)'!$C$6:$N$79,H$5,FALSE)</f>
        <v>185.56596999999988</v>
      </c>
      <c r="I17" s="307">
        <f>HLOOKUP($A17,'Single Family (2)'!$C$6:$N$79,I$5,FALSE)/2</f>
        <v>12.9457925</v>
      </c>
      <c r="J17" s="307">
        <f>HLOOKUP($A17,'Single Family (2)'!$C$6:$N$79,J$5,FALSE)/2</f>
        <v>12.9457925</v>
      </c>
      <c r="K17" s="307">
        <f>HLOOKUP($A17,'Single Family (2)'!$C$6:$N$79,K$5,FALSE)</f>
        <v>102.75903</v>
      </c>
      <c r="L17" s="311">
        <f>HLOOKUP($A17,'Single Family (2)'!$C$6:$N$79,L$5,FALSE)</f>
        <v>34.195345000000074</v>
      </c>
      <c r="M17" s="70"/>
      <c r="N17" s="70">
        <f t="shared" si="0"/>
        <v>576.64999999999986</v>
      </c>
      <c r="P17" s="321"/>
    </row>
    <row r="18" spans="1:16" x14ac:dyDescent="0.2">
      <c r="A18" s="313">
        <f t="shared" si="1"/>
        <v>42855</v>
      </c>
      <c r="B18" s="305"/>
      <c r="C18" s="307">
        <f>HLOOKUP($A18,'Single Family (2)'!$C$6:$N$79,C$5,FALSE)</f>
        <v>3.5970749999999998</v>
      </c>
      <c r="D18" s="311">
        <f>HLOOKUP($A18,'Single Family (2)'!$C$6:$N$79,D$5,FALSE)</f>
        <v>84.795048000000008</v>
      </c>
      <c r="E18" s="311">
        <f>HLOOKUP($A18,'Single Family (2)'!$C$6:$N$79,E$5,FALSE)</f>
        <v>0</v>
      </c>
      <c r="F18" s="307">
        <f>HLOOKUP($A18,'Single Family (2)'!$C$6:$N$79,F$5,FALSE)</f>
        <v>7.9135650000000002</v>
      </c>
      <c r="G18" s="307">
        <f>HLOOKUP($A18,'Single Family (2)'!$C$6:$N$79,G$5,FALSE)</f>
        <v>93.523949999999999</v>
      </c>
      <c r="H18" s="307">
        <f>HLOOKUP($A18,'Single Family (2)'!$C$6:$N$79,H$5,FALSE)</f>
        <v>154.3384979999999</v>
      </c>
      <c r="I18" s="307">
        <f>HLOOKUP($A18,'Single Family (2)'!$C$6:$N$79,I$5,FALSE)/2</f>
        <v>10.7672445</v>
      </c>
      <c r="J18" s="307">
        <f>HLOOKUP($A18,'Single Family (2)'!$C$6:$N$79,J$5,FALSE)/2</f>
        <v>10.7672445</v>
      </c>
      <c r="K18" s="307">
        <f>HLOOKUP($A18,'Single Family (2)'!$C$6:$N$79,K$5,FALSE)</f>
        <v>85.466502000000006</v>
      </c>
      <c r="L18" s="311">
        <f>HLOOKUP($A18,'Single Family (2)'!$C$6:$N$79,L$5,FALSE)</f>
        <v>28.440873000000064</v>
      </c>
      <c r="M18" s="70"/>
      <c r="N18" s="70">
        <f t="shared" si="0"/>
        <v>479.60999999999996</v>
      </c>
      <c r="P18" s="321"/>
    </row>
    <row r="19" spans="1:16" ht="13.5" customHeight="1" x14ac:dyDescent="0.2">
      <c r="A19" s="313"/>
      <c r="B19" s="305"/>
      <c r="C19" s="70"/>
      <c r="D19" s="70"/>
      <c r="E19" s="70"/>
      <c r="F19" s="70"/>
      <c r="G19" s="70"/>
      <c r="H19" s="70"/>
      <c r="I19" s="70"/>
      <c r="J19" s="70"/>
      <c r="K19" s="70"/>
      <c r="L19" s="70"/>
      <c r="M19" s="70"/>
      <c r="N19" s="70"/>
      <c r="O19" s="186" t="s">
        <v>32</v>
      </c>
    </row>
    <row r="20" spans="1:16" x14ac:dyDescent="0.2">
      <c r="A20" s="310" t="s">
        <v>33</v>
      </c>
      <c r="B20" s="305"/>
      <c r="C20" s="77">
        <f t="shared" ref="C20:L20" si="2">SUM(C7:C19)</f>
        <v>49.991174999999998</v>
      </c>
      <c r="D20" s="77">
        <f t="shared" si="2"/>
        <v>1178.4586320000001</v>
      </c>
      <c r="E20" s="77">
        <f t="shared" si="2"/>
        <v>0</v>
      </c>
      <c r="F20" s="77">
        <f t="shared" si="2"/>
        <v>109.980585</v>
      </c>
      <c r="G20" s="77">
        <f t="shared" si="2"/>
        <v>1299.7705500000002</v>
      </c>
      <c r="H20" s="77">
        <f t="shared" si="2"/>
        <v>2144.9546819999987</v>
      </c>
      <c r="I20" s="77">
        <f t="shared" si="2"/>
        <v>149.64025050000001</v>
      </c>
      <c r="J20" s="77">
        <f t="shared" si="2"/>
        <v>149.64025050000001</v>
      </c>
      <c r="K20" s="77">
        <f t="shared" si="2"/>
        <v>1187.7903180000001</v>
      </c>
      <c r="L20" s="77">
        <f t="shared" si="2"/>
        <v>395.2635570000009</v>
      </c>
      <c r="M20" s="70"/>
      <c r="N20" s="77">
        <f>SUM(N7:N18)</f>
        <v>6665.4899999999989</v>
      </c>
      <c r="O20" s="306">
        <f>N20/15</f>
        <v>444.36599999999993</v>
      </c>
    </row>
    <row r="21" spans="1:16" x14ac:dyDescent="0.2">
      <c r="A21" s="313"/>
      <c r="B21" s="305"/>
      <c r="C21" s="305"/>
      <c r="D21" s="305"/>
      <c r="E21" s="305"/>
      <c r="F21" s="305"/>
      <c r="G21" s="305"/>
      <c r="H21" s="305"/>
      <c r="I21" s="305"/>
      <c r="J21" s="305"/>
      <c r="K21" s="305"/>
      <c r="L21" s="305"/>
      <c r="M21" s="305"/>
      <c r="N21" s="306" t="str">
        <f>IF(N20&lt;&gt;SUM('Single Family (2)'!$C$66:$N$66),"ERROR","")</f>
        <v/>
      </c>
    </row>
    <row r="22" spans="1:16" x14ac:dyDescent="0.2">
      <c r="A22" s="305"/>
      <c r="B22" s="305"/>
      <c r="C22" s="305"/>
      <c r="D22" s="305"/>
      <c r="E22" s="305"/>
      <c r="F22" s="305"/>
      <c r="G22" s="305"/>
      <c r="H22" s="305"/>
      <c r="I22" s="305"/>
      <c r="J22" s="305"/>
      <c r="K22" s="305"/>
      <c r="L22" s="305"/>
      <c r="M22" s="306"/>
    </row>
    <row r="23" spans="1:16" x14ac:dyDescent="0.2">
      <c r="A23" s="305"/>
      <c r="B23" s="305"/>
      <c r="C23" s="305"/>
      <c r="D23" s="305"/>
      <c r="E23" s="305"/>
      <c r="F23" s="305"/>
      <c r="G23" s="305"/>
      <c r="H23" s="305"/>
      <c r="I23" s="305"/>
      <c r="J23" s="305"/>
      <c r="K23" s="305"/>
      <c r="L23" s="305"/>
      <c r="M23" s="306"/>
    </row>
    <row r="24" spans="1:16" x14ac:dyDescent="0.2">
      <c r="A24" s="305"/>
      <c r="B24" s="305"/>
      <c r="C24" s="305"/>
      <c r="D24" s="305"/>
      <c r="E24" s="305"/>
      <c r="F24" s="305"/>
      <c r="G24" s="305"/>
      <c r="H24" s="305"/>
      <c r="I24" s="305"/>
      <c r="J24" s="305"/>
      <c r="K24" s="305"/>
      <c r="L24" s="305"/>
      <c r="M24" s="306"/>
    </row>
    <row r="25" spans="1:16" x14ac:dyDescent="0.2">
      <c r="A25" s="305"/>
      <c r="B25" s="305"/>
      <c r="C25" s="305"/>
      <c r="D25" s="305"/>
      <c r="E25" s="305"/>
      <c r="F25" s="305"/>
      <c r="G25" s="305"/>
      <c r="H25" s="305"/>
      <c r="I25" s="305"/>
      <c r="J25" s="305"/>
      <c r="K25" s="305"/>
      <c r="L25" s="305"/>
      <c r="M25" s="305"/>
    </row>
    <row r="26" spans="1:16" x14ac:dyDescent="0.2">
      <c r="A26" s="305"/>
      <c r="B26" s="305"/>
      <c r="C26" s="305"/>
      <c r="D26" s="305"/>
      <c r="E26" s="305"/>
      <c r="F26" s="305"/>
      <c r="G26" s="305"/>
      <c r="H26" s="305"/>
      <c r="I26" s="305"/>
      <c r="J26" s="305"/>
      <c r="K26" s="305"/>
      <c r="L26" s="305"/>
      <c r="M26" s="305"/>
    </row>
    <row r="27" spans="1:16" x14ac:dyDescent="0.2">
      <c r="A27" s="305"/>
      <c r="B27" s="305"/>
      <c r="C27" s="305"/>
      <c r="D27" s="305"/>
      <c r="E27" s="305"/>
      <c r="F27" s="305"/>
      <c r="G27" s="305"/>
      <c r="H27" s="305"/>
      <c r="I27" s="305"/>
      <c r="J27" s="305"/>
      <c r="K27" s="305"/>
      <c r="L27" s="305"/>
      <c r="M27" s="305"/>
    </row>
    <row r="28" spans="1:16" x14ac:dyDescent="0.2">
      <c r="A28" s="305"/>
      <c r="B28" s="305"/>
      <c r="C28" s="305"/>
      <c r="D28" s="305"/>
      <c r="E28" s="305"/>
      <c r="F28" s="305"/>
      <c r="G28" s="305"/>
      <c r="H28" s="305"/>
      <c r="I28" s="305"/>
      <c r="J28" s="305"/>
      <c r="K28" s="305"/>
      <c r="L28" s="305"/>
      <c r="M28" s="305"/>
    </row>
    <row r="29" spans="1:16" x14ac:dyDescent="0.2">
      <c r="A29" s="305"/>
      <c r="B29" s="305"/>
      <c r="C29" s="305"/>
      <c r="D29" s="305"/>
      <c r="E29" s="305"/>
      <c r="F29" s="305"/>
      <c r="G29" s="305"/>
      <c r="H29" s="305"/>
      <c r="I29" s="305"/>
      <c r="J29" s="305"/>
      <c r="K29" s="305"/>
      <c r="L29" s="305"/>
      <c r="M29" s="305"/>
    </row>
    <row r="30" spans="1:16" x14ac:dyDescent="0.2">
      <c r="A30" s="305"/>
      <c r="B30" s="305"/>
      <c r="C30" s="305"/>
      <c r="D30" s="305"/>
      <c r="E30" s="305"/>
      <c r="F30" s="305"/>
      <c r="G30" s="305"/>
      <c r="H30" s="305"/>
      <c r="I30" s="305"/>
      <c r="J30" s="305"/>
      <c r="K30" s="305"/>
      <c r="L30" s="305"/>
      <c r="M30" s="305"/>
    </row>
    <row r="31" spans="1:16" x14ac:dyDescent="0.2">
      <c r="A31" s="305"/>
      <c r="B31" s="305"/>
      <c r="C31" s="305"/>
      <c r="D31" s="305"/>
      <c r="E31" s="305"/>
      <c r="F31" s="305"/>
      <c r="G31" s="305"/>
      <c r="H31" s="305"/>
      <c r="I31" s="305"/>
      <c r="J31" s="305"/>
      <c r="K31" s="305"/>
      <c r="L31" s="305"/>
      <c r="M31" s="305"/>
    </row>
    <row r="32" spans="1:16" x14ac:dyDescent="0.2">
      <c r="A32" s="305"/>
      <c r="B32" s="305"/>
      <c r="C32" s="305"/>
      <c r="D32" s="305"/>
      <c r="E32" s="305"/>
      <c r="F32" s="305"/>
      <c r="G32" s="305"/>
      <c r="H32" s="305"/>
      <c r="I32" s="305"/>
      <c r="J32" s="305"/>
      <c r="K32" s="305"/>
      <c r="L32" s="305"/>
      <c r="M32" s="305"/>
    </row>
    <row r="33" spans="1:13" x14ac:dyDescent="0.2">
      <c r="A33" s="305"/>
      <c r="B33" s="305"/>
      <c r="C33" s="305"/>
      <c r="D33" s="305"/>
      <c r="E33" s="305"/>
      <c r="F33" s="305"/>
      <c r="G33" s="305"/>
      <c r="H33" s="305"/>
      <c r="I33" s="305"/>
      <c r="J33" s="305"/>
      <c r="K33" s="305"/>
      <c r="L33" s="305"/>
      <c r="M33" s="305"/>
    </row>
    <row r="34" spans="1:13" x14ac:dyDescent="0.2">
      <c r="A34" s="305"/>
      <c r="B34" s="305"/>
      <c r="C34" s="305"/>
      <c r="D34" s="305"/>
      <c r="E34" s="305"/>
      <c r="F34" s="305"/>
      <c r="G34" s="305"/>
      <c r="H34" s="305"/>
      <c r="I34" s="305"/>
      <c r="J34" s="305"/>
      <c r="K34" s="305"/>
      <c r="L34" s="305"/>
      <c r="M34" s="305"/>
    </row>
    <row r="35" spans="1:13" x14ac:dyDescent="0.2">
      <c r="A35" s="305"/>
      <c r="B35" s="305"/>
      <c r="C35" s="305"/>
      <c r="D35" s="305"/>
      <c r="E35" s="305"/>
      <c r="F35" s="305"/>
      <c r="G35" s="305"/>
      <c r="H35" s="305"/>
      <c r="I35" s="305"/>
      <c r="J35" s="305"/>
      <c r="K35" s="305"/>
      <c r="L35" s="305"/>
      <c r="M35" s="305"/>
    </row>
    <row r="36" spans="1:13" x14ac:dyDescent="0.2">
      <c r="A36" s="305"/>
      <c r="B36" s="305"/>
      <c r="C36" s="305"/>
      <c r="D36" s="305"/>
      <c r="E36" s="305"/>
      <c r="F36" s="305"/>
      <c r="G36" s="305"/>
      <c r="H36" s="305"/>
      <c r="I36" s="305"/>
      <c r="J36" s="305"/>
      <c r="K36" s="305"/>
      <c r="L36" s="305"/>
      <c r="M36" s="305"/>
    </row>
    <row r="37" spans="1:13" x14ac:dyDescent="0.2">
      <c r="A37" s="305"/>
      <c r="B37" s="305"/>
      <c r="C37" s="305"/>
      <c r="D37" s="305"/>
      <c r="E37" s="305"/>
      <c r="F37" s="305"/>
      <c r="G37" s="305"/>
      <c r="H37" s="305"/>
      <c r="I37" s="305"/>
      <c r="J37" s="305"/>
      <c r="K37" s="305"/>
      <c r="L37" s="305"/>
      <c r="M37" s="305"/>
    </row>
    <row r="38" spans="1:13" x14ac:dyDescent="0.2">
      <c r="A38" s="305"/>
      <c r="B38" s="305"/>
      <c r="C38" s="305"/>
      <c r="D38" s="305"/>
      <c r="E38" s="305"/>
      <c r="F38" s="305"/>
      <c r="G38" s="305"/>
      <c r="H38" s="305"/>
      <c r="I38" s="305"/>
      <c r="J38" s="305"/>
      <c r="K38" s="305"/>
      <c r="L38" s="305"/>
      <c r="M38" s="305"/>
    </row>
    <row r="39" spans="1:13" x14ac:dyDescent="0.2">
      <c r="A39" s="305"/>
      <c r="B39" s="305"/>
      <c r="C39" s="305"/>
      <c r="D39" s="305"/>
      <c r="E39" s="305"/>
      <c r="F39" s="305"/>
      <c r="G39" s="305"/>
      <c r="H39" s="305"/>
      <c r="I39" s="305"/>
      <c r="J39" s="305"/>
      <c r="K39" s="305"/>
      <c r="L39" s="305"/>
      <c r="M39" s="305"/>
    </row>
    <row r="40" spans="1:13" x14ac:dyDescent="0.2">
      <c r="A40" s="305"/>
      <c r="B40" s="305"/>
      <c r="C40" s="305"/>
      <c r="D40" s="305"/>
      <c r="E40" s="305"/>
      <c r="F40" s="305"/>
      <c r="G40" s="305"/>
      <c r="H40" s="305"/>
      <c r="I40" s="305"/>
      <c r="J40" s="305"/>
      <c r="K40" s="305"/>
      <c r="L40" s="305"/>
      <c r="M40" s="305"/>
    </row>
    <row r="41" spans="1:13" x14ac:dyDescent="0.2">
      <c r="A41" s="305"/>
      <c r="B41" s="305"/>
      <c r="C41" s="305"/>
      <c r="D41" s="305"/>
      <c r="E41" s="305"/>
      <c r="F41" s="305"/>
      <c r="G41" s="305"/>
      <c r="H41" s="305"/>
      <c r="I41" s="305"/>
      <c r="J41" s="305"/>
      <c r="K41" s="305"/>
      <c r="L41" s="305"/>
      <c r="M41" s="305"/>
    </row>
    <row r="42" spans="1:13" x14ac:dyDescent="0.2">
      <c r="A42" s="305"/>
      <c r="B42" s="305"/>
      <c r="C42" s="305"/>
      <c r="D42" s="305"/>
      <c r="E42" s="305"/>
      <c r="F42" s="305"/>
      <c r="G42" s="305"/>
      <c r="H42" s="305"/>
      <c r="I42" s="305"/>
      <c r="J42" s="305"/>
      <c r="K42" s="305"/>
      <c r="L42" s="305"/>
      <c r="M42" s="305"/>
    </row>
    <row r="43" spans="1:13" x14ac:dyDescent="0.2">
      <c r="A43" s="305"/>
      <c r="B43" s="305"/>
      <c r="C43" s="305"/>
      <c r="D43" s="305"/>
      <c r="E43" s="305"/>
      <c r="F43" s="305"/>
      <c r="G43" s="305"/>
      <c r="H43" s="305"/>
      <c r="I43" s="305"/>
      <c r="J43" s="305"/>
      <c r="K43" s="305"/>
      <c r="L43" s="305"/>
      <c r="M43" s="305"/>
    </row>
    <row r="44" spans="1:13" x14ac:dyDescent="0.2">
      <c r="A44" s="305"/>
      <c r="B44" s="305"/>
      <c r="C44" s="305"/>
      <c r="D44" s="305"/>
      <c r="E44" s="305"/>
      <c r="F44" s="305"/>
      <c r="G44" s="305"/>
      <c r="H44" s="305"/>
      <c r="I44" s="305"/>
      <c r="J44" s="305"/>
      <c r="K44" s="305"/>
      <c r="L44" s="305"/>
      <c r="M44" s="305"/>
    </row>
    <row r="45" spans="1:13" x14ac:dyDescent="0.2">
      <c r="A45" s="305"/>
      <c r="B45" s="305"/>
      <c r="C45" s="305"/>
      <c r="D45" s="305"/>
      <c r="E45" s="305"/>
      <c r="F45" s="305"/>
      <c r="G45" s="305"/>
      <c r="H45" s="305"/>
      <c r="I45" s="305"/>
      <c r="J45" s="305"/>
      <c r="K45" s="305"/>
      <c r="L45" s="305"/>
      <c r="M45" s="305"/>
    </row>
    <row r="46" spans="1:13" x14ac:dyDescent="0.2">
      <c r="A46" s="305"/>
      <c r="B46" s="305"/>
      <c r="C46" s="305"/>
      <c r="D46" s="305"/>
      <c r="E46" s="305"/>
      <c r="F46" s="305"/>
      <c r="G46" s="305"/>
      <c r="H46" s="305"/>
      <c r="I46" s="305"/>
      <c r="J46" s="305"/>
      <c r="K46" s="305"/>
      <c r="L46" s="305"/>
      <c r="M46" s="305"/>
    </row>
    <row r="47" spans="1:13" x14ac:dyDescent="0.2">
      <c r="A47" s="305"/>
      <c r="B47" s="305"/>
      <c r="C47" s="305"/>
      <c r="D47" s="305"/>
      <c r="E47" s="305"/>
      <c r="F47" s="305"/>
      <c r="G47" s="305"/>
      <c r="H47" s="305"/>
      <c r="I47" s="305"/>
      <c r="J47" s="305"/>
      <c r="K47" s="305"/>
      <c r="L47" s="305"/>
      <c r="M47" s="305"/>
    </row>
    <row r="48" spans="1:13" x14ac:dyDescent="0.2">
      <c r="A48" s="305"/>
      <c r="B48" s="305"/>
      <c r="C48" s="305"/>
      <c r="D48" s="305"/>
      <c r="E48" s="305"/>
      <c r="F48" s="305"/>
      <c r="G48" s="305"/>
      <c r="H48" s="305"/>
      <c r="I48" s="305"/>
      <c r="J48" s="305"/>
      <c r="K48" s="305"/>
      <c r="L48" s="305"/>
      <c r="M48" s="305"/>
    </row>
    <row r="49" spans="1:13" x14ac:dyDescent="0.2">
      <c r="A49" s="305"/>
      <c r="B49" s="305"/>
      <c r="C49" s="305"/>
      <c r="D49" s="305"/>
      <c r="E49" s="305"/>
      <c r="F49" s="305"/>
      <c r="G49" s="305"/>
      <c r="H49" s="305"/>
      <c r="I49" s="305"/>
      <c r="J49" s="305"/>
      <c r="K49" s="305"/>
      <c r="L49" s="305"/>
      <c r="M49" s="305"/>
    </row>
    <row r="50" spans="1:13" x14ac:dyDescent="0.2">
      <c r="A50" s="305"/>
      <c r="B50" s="305"/>
      <c r="C50" s="305"/>
      <c r="D50" s="305"/>
      <c r="E50" s="305"/>
      <c r="F50" s="305"/>
      <c r="G50" s="305"/>
      <c r="H50" s="305"/>
      <c r="I50" s="305"/>
      <c r="J50" s="305"/>
      <c r="K50" s="305"/>
      <c r="L50" s="305"/>
      <c r="M50" s="305"/>
    </row>
    <row r="51" spans="1:13" x14ac:dyDescent="0.2">
      <c r="A51" s="305"/>
      <c r="B51" s="305"/>
      <c r="C51" s="305"/>
      <c r="D51" s="305"/>
      <c r="E51" s="305"/>
      <c r="F51" s="305"/>
      <c r="G51" s="305"/>
      <c r="H51" s="305"/>
      <c r="I51" s="305"/>
      <c r="J51" s="305"/>
      <c r="K51" s="305"/>
      <c r="L51" s="305"/>
      <c r="M51" s="305"/>
    </row>
    <row r="52" spans="1:13" x14ac:dyDescent="0.2">
      <c r="A52" s="305"/>
      <c r="B52" s="305"/>
      <c r="C52" s="305"/>
      <c r="D52" s="305"/>
      <c r="E52" s="305"/>
      <c r="F52" s="305"/>
      <c r="G52" s="305"/>
      <c r="H52" s="305"/>
      <c r="I52" s="305"/>
      <c r="J52" s="305"/>
      <c r="K52" s="305"/>
      <c r="L52" s="305"/>
      <c r="M52" s="305"/>
    </row>
    <row r="53" spans="1:13" x14ac:dyDescent="0.2">
      <c r="A53" s="305"/>
      <c r="B53" s="305"/>
      <c r="C53" s="305"/>
      <c r="D53" s="305"/>
      <c r="E53" s="305"/>
      <c r="F53" s="305"/>
      <c r="G53" s="305"/>
      <c r="H53" s="305"/>
      <c r="I53" s="305"/>
      <c r="J53" s="305"/>
      <c r="K53" s="305"/>
      <c r="L53" s="305"/>
      <c r="M53" s="305"/>
    </row>
    <row r="54" spans="1:13" x14ac:dyDescent="0.2">
      <c r="A54" s="305"/>
      <c r="B54" s="305"/>
      <c r="C54" s="305"/>
      <c r="D54" s="305"/>
      <c r="E54" s="305"/>
      <c r="F54" s="305"/>
      <c r="G54" s="305"/>
      <c r="H54" s="305"/>
      <c r="I54" s="305"/>
      <c r="J54" s="305"/>
      <c r="K54" s="305"/>
      <c r="L54" s="305"/>
      <c r="M54" s="305"/>
    </row>
    <row r="55" spans="1:13" x14ac:dyDescent="0.2">
      <c r="A55" s="305"/>
      <c r="B55" s="305"/>
      <c r="C55" s="305"/>
      <c r="D55" s="305"/>
      <c r="E55" s="305"/>
      <c r="F55" s="305"/>
      <c r="G55" s="305"/>
      <c r="H55" s="305"/>
      <c r="I55" s="305"/>
      <c r="J55" s="305"/>
      <c r="K55" s="305"/>
      <c r="L55" s="305"/>
      <c r="M55" s="305"/>
    </row>
    <row r="56" spans="1:13" x14ac:dyDescent="0.2">
      <c r="A56" s="305"/>
      <c r="B56" s="305"/>
      <c r="C56" s="305"/>
      <c r="D56" s="305"/>
      <c r="E56" s="305"/>
      <c r="F56" s="305"/>
      <c r="G56" s="305"/>
      <c r="H56" s="305"/>
      <c r="I56" s="305"/>
      <c r="J56" s="305"/>
      <c r="K56" s="305"/>
      <c r="L56" s="305"/>
      <c r="M56" s="305"/>
    </row>
    <row r="57" spans="1:13" x14ac:dyDescent="0.2">
      <c r="A57" s="305"/>
      <c r="B57" s="305"/>
      <c r="C57" s="305"/>
      <c r="D57" s="305"/>
      <c r="E57" s="305"/>
      <c r="F57" s="305"/>
      <c r="G57" s="305"/>
      <c r="H57" s="305"/>
      <c r="I57" s="305"/>
      <c r="J57" s="305"/>
      <c r="K57" s="305"/>
      <c r="L57" s="305"/>
      <c r="M57" s="305"/>
    </row>
    <row r="58" spans="1:13" x14ac:dyDescent="0.2">
      <c r="A58" s="305"/>
      <c r="B58" s="305"/>
      <c r="C58" s="305"/>
      <c r="D58" s="305"/>
      <c r="E58" s="305"/>
      <c r="F58" s="305"/>
      <c r="G58" s="305"/>
      <c r="H58" s="305"/>
      <c r="I58" s="305"/>
      <c r="J58" s="305"/>
      <c r="K58" s="305"/>
      <c r="L58" s="305"/>
      <c r="M58" s="305"/>
    </row>
    <row r="59" spans="1:13" x14ac:dyDescent="0.2">
      <c r="A59" s="305"/>
      <c r="B59" s="305"/>
      <c r="C59" s="305"/>
      <c r="D59" s="305"/>
      <c r="E59" s="305"/>
      <c r="F59" s="305"/>
      <c r="G59" s="305"/>
      <c r="H59" s="305"/>
      <c r="I59" s="305"/>
      <c r="J59" s="305"/>
      <c r="K59" s="305"/>
      <c r="L59" s="305"/>
      <c r="M59" s="305"/>
    </row>
    <row r="60" spans="1:13" x14ac:dyDescent="0.2">
      <c r="A60" s="305"/>
      <c r="B60" s="305"/>
      <c r="C60" s="305"/>
      <c r="D60" s="305"/>
      <c r="E60" s="305"/>
      <c r="F60" s="305"/>
      <c r="G60" s="305"/>
      <c r="H60" s="305"/>
      <c r="I60" s="305"/>
      <c r="J60" s="305"/>
      <c r="K60" s="305"/>
      <c r="L60" s="305"/>
      <c r="M60" s="305"/>
    </row>
    <row r="61" spans="1:13" x14ac:dyDescent="0.2">
      <c r="A61" s="305"/>
      <c r="B61" s="305"/>
      <c r="C61" s="305"/>
      <c r="D61" s="305"/>
      <c r="E61" s="305"/>
      <c r="F61" s="305"/>
      <c r="G61" s="305"/>
      <c r="H61" s="305"/>
      <c r="I61" s="305"/>
      <c r="J61" s="305"/>
      <c r="K61" s="305"/>
      <c r="L61" s="305"/>
      <c r="M61" s="305"/>
    </row>
    <row r="62" spans="1:13" x14ac:dyDescent="0.2">
      <c r="A62" s="305"/>
      <c r="B62" s="305"/>
      <c r="C62" s="305"/>
      <c r="D62" s="305"/>
      <c r="E62" s="305"/>
      <c r="F62" s="305"/>
      <c r="G62" s="305"/>
      <c r="H62" s="305"/>
      <c r="I62" s="305"/>
      <c r="J62" s="305"/>
      <c r="K62" s="305"/>
      <c r="L62" s="305"/>
      <c r="M62" s="305"/>
    </row>
    <row r="63" spans="1:13" x14ac:dyDescent="0.2">
      <c r="A63" s="305"/>
      <c r="B63" s="305"/>
      <c r="C63" s="305"/>
      <c r="D63" s="305"/>
      <c r="E63" s="305"/>
      <c r="F63" s="305"/>
      <c r="G63" s="305"/>
      <c r="H63" s="305"/>
      <c r="I63" s="305"/>
      <c r="J63" s="305"/>
      <c r="K63" s="305"/>
      <c r="L63" s="305"/>
      <c r="M63" s="305"/>
    </row>
    <row r="64" spans="1:13" x14ac:dyDescent="0.2">
      <c r="A64" s="305"/>
      <c r="B64" s="305"/>
      <c r="C64" s="305"/>
      <c r="D64" s="305"/>
      <c r="E64" s="305"/>
      <c r="F64" s="305"/>
      <c r="G64" s="305"/>
      <c r="H64" s="305"/>
      <c r="I64" s="305"/>
      <c r="J64" s="305"/>
      <c r="K64" s="305"/>
      <c r="L64" s="305"/>
      <c r="M64" s="305"/>
    </row>
    <row r="65" spans="1:13" x14ac:dyDescent="0.2">
      <c r="A65" s="305"/>
      <c r="B65" s="305"/>
      <c r="C65" s="305"/>
      <c r="D65" s="305"/>
      <c r="E65" s="305"/>
      <c r="F65" s="305"/>
      <c r="G65" s="305"/>
      <c r="H65" s="305"/>
      <c r="I65" s="305"/>
      <c r="J65" s="305"/>
      <c r="K65" s="305"/>
      <c r="L65" s="305"/>
      <c r="M65" s="305"/>
    </row>
    <row r="66" spans="1:13" x14ac:dyDescent="0.2">
      <c r="A66" s="305"/>
      <c r="B66" s="305"/>
      <c r="C66" s="305"/>
      <c r="D66" s="305"/>
      <c r="E66" s="305"/>
      <c r="F66" s="305"/>
      <c r="G66" s="305"/>
      <c r="H66" s="305"/>
      <c r="I66" s="305"/>
      <c r="J66" s="305"/>
      <c r="K66" s="305"/>
      <c r="L66" s="305"/>
      <c r="M66" s="305"/>
    </row>
    <row r="67" spans="1:13" x14ac:dyDescent="0.2">
      <c r="A67" s="305"/>
      <c r="B67" s="305"/>
      <c r="C67" s="305"/>
      <c r="D67" s="305"/>
      <c r="E67" s="305"/>
      <c r="F67" s="305"/>
      <c r="G67" s="305"/>
      <c r="H67" s="305"/>
      <c r="I67" s="305"/>
      <c r="J67" s="305"/>
      <c r="K67" s="305"/>
      <c r="L67" s="305"/>
      <c r="M67" s="305"/>
    </row>
    <row r="68" spans="1:13" x14ac:dyDescent="0.2">
      <c r="A68" s="305"/>
      <c r="B68" s="305"/>
      <c r="C68" s="305"/>
      <c r="D68" s="305"/>
      <c r="E68" s="305"/>
      <c r="F68" s="305"/>
      <c r="G68" s="305"/>
      <c r="H68" s="305"/>
      <c r="I68" s="305"/>
      <c r="J68" s="305"/>
      <c r="K68" s="305"/>
      <c r="L68" s="305"/>
      <c r="M68" s="305"/>
    </row>
    <row r="69" spans="1:13" x14ac:dyDescent="0.2">
      <c r="A69" s="305"/>
      <c r="B69" s="305"/>
      <c r="C69" s="305"/>
      <c r="D69" s="305"/>
      <c r="E69" s="305"/>
      <c r="F69" s="305"/>
      <c r="G69" s="305"/>
      <c r="H69" s="305"/>
      <c r="I69" s="305"/>
      <c r="J69" s="305"/>
      <c r="K69" s="305"/>
      <c r="L69" s="305"/>
      <c r="M69" s="305"/>
    </row>
    <row r="70" spans="1:13" x14ac:dyDescent="0.2">
      <c r="A70" s="305"/>
      <c r="B70" s="305"/>
      <c r="C70" s="305"/>
      <c r="D70" s="305"/>
      <c r="E70" s="305"/>
      <c r="F70" s="305"/>
      <c r="G70" s="305"/>
      <c r="H70" s="305"/>
      <c r="I70" s="305"/>
      <c r="J70" s="305"/>
      <c r="K70" s="305"/>
      <c r="L70" s="305"/>
      <c r="M70" s="305"/>
    </row>
    <row r="71" spans="1:13" x14ac:dyDescent="0.2">
      <c r="A71" s="305"/>
      <c r="B71" s="305"/>
      <c r="C71" s="305"/>
      <c r="D71" s="305"/>
      <c r="E71" s="305"/>
      <c r="F71" s="305"/>
      <c r="G71" s="305"/>
      <c r="H71" s="305"/>
      <c r="I71" s="305"/>
      <c r="J71" s="305"/>
      <c r="K71" s="305"/>
      <c r="L71" s="305"/>
      <c r="M71" s="305"/>
    </row>
    <row r="72" spans="1:13" x14ac:dyDescent="0.2">
      <c r="A72" s="305"/>
      <c r="B72" s="305"/>
      <c r="C72" s="305"/>
      <c r="D72" s="305"/>
      <c r="E72" s="305"/>
      <c r="F72" s="305"/>
      <c r="G72" s="305"/>
      <c r="H72" s="305"/>
      <c r="I72" s="305"/>
      <c r="J72" s="305"/>
      <c r="K72" s="305"/>
      <c r="L72" s="305"/>
      <c r="M72" s="305"/>
    </row>
    <row r="73" spans="1:13" x14ac:dyDescent="0.2">
      <c r="A73" s="305"/>
      <c r="B73" s="305"/>
      <c r="C73" s="305"/>
      <c r="D73" s="305"/>
      <c r="E73" s="305"/>
      <c r="F73" s="305"/>
      <c r="G73" s="305"/>
      <c r="H73" s="305"/>
      <c r="I73" s="305"/>
      <c r="J73" s="305"/>
      <c r="K73" s="305"/>
      <c r="L73" s="305"/>
      <c r="M73" s="305"/>
    </row>
    <row r="74" spans="1:13" x14ac:dyDescent="0.2">
      <c r="A74" s="305"/>
      <c r="B74" s="305"/>
      <c r="C74" s="305"/>
      <c r="D74" s="305"/>
      <c r="E74" s="305"/>
      <c r="F74" s="305"/>
      <c r="G74" s="305"/>
      <c r="H74" s="305"/>
      <c r="I74" s="305"/>
      <c r="J74" s="305"/>
      <c r="K74" s="305"/>
      <c r="L74" s="305"/>
      <c r="M74" s="305"/>
    </row>
    <row r="75" spans="1:13" x14ac:dyDescent="0.2">
      <c r="A75" s="305"/>
      <c r="B75" s="305"/>
      <c r="C75" s="305"/>
      <c r="D75" s="305"/>
      <c r="E75" s="305"/>
      <c r="F75" s="305"/>
      <c r="G75" s="305"/>
      <c r="H75" s="305"/>
      <c r="I75" s="305"/>
      <c r="J75" s="305"/>
      <c r="K75" s="305"/>
      <c r="L75" s="305"/>
      <c r="M75" s="305"/>
    </row>
    <row r="76" spans="1:13" x14ac:dyDescent="0.2">
      <c r="A76" s="305"/>
      <c r="B76" s="305"/>
      <c r="C76" s="305"/>
      <c r="D76" s="305"/>
      <c r="E76" s="305"/>
      <c r="F76" s="305"/>
      <c r="G76" s="305"/>
      <c r="H76" s="305"/>
      <c r="I76" s="305"/>
      <c r="J76" s="305"/>
      <c r="K76" s="305"/>
      <c r="L76" s="305"/>
      <c r="M76" s="305"/>
    </row>
    <row r="77" spans="1:13" x14ac:dyDescent="0.2">
      <c r="A77" s="305"/>
      <c r="B77" s="305"/>
      <c r="C77" s="305"/>
      <c r="D77" s="305"/>
      <c r="E77" s="305"/>
      <c r="F77" s="305"/>
      <c r="G77" s="305"/>
      <c r="H77" s="305"/>
      <c r="I77" s="305"/>
      <c r="J77" s="305"/>
      <c r="K77" s="305"/>
      <c r="L77" s="305"/>
      <c r="M77" s="305"/>
    </row>
    <row r="78" spans="1:13" x14ac:dyDescent="0.2">
      <c r="A78" s="305"/>
      <c r="B78" s="305"/>
      <c r="C78" s="305"/>
      <c r="D78" s="305"/>
      <c r="E78" s="305"/>
      <c r="F78" s="305"/>
      <c r="G78" s="305"/>
      <c r="H78" s="305"/>
      <c r="I78" s="305"/>
      <c r="J78" s="305"/>
      <c r="K78" s="305"/>
      <c r="L78" s="305"/>
      <c r="M78" s="305"/>
    </row>
    <row r="79" spans="1:13" x14ac:dyDescent="0.2">
      <c r="A79" s="305"/>
      <c r="B79" s="305"/>
      <c r="C79" s="305"/>
      <c r="D79" s="305"/>
      <c r="E79" s="305"/>
      <c r="F79" s="305"/>
      <c r="G79" s="305"/>
      <c r="H79" s="305"/>
      <c r="I79" s="305"/>
      <c r="J79" s="305"/>
      <c r="K79" s="305"/>
      <c r="L79" s="305"/>
      <c r="M79" s="305"/>
    </row>
    <row r="80" spans="1:13" x14ac:dyDescent="0.2">
      <c r="A80" s="305"/>
      <c r="B80" s="305"/>
      <c r="C80" s="305"/>
      <c r="D80" s="305"/>
      <c r="E80" s="305"/>
      <c r="F80" s="305"/>
      <c r="G80" s="305"/>
      <c r="H80" s="305"/>
      <c r="I80" s="305"/>
      <c r="J80" s="305"/>
      <c r="K80" s="305"/>
      <c r="L80" s="305"/>
      <c r="M80" s="305"/>
    </row>
    <row r="81" spans="1:13" x14ac:dyDescent="0.2">
      <c r="A81" s="305"/>
      <c r="B81" s="305"/>
      <c r="C81" s="305"/>
      <c r="D81" s="305"/>
      <c r="E81" s="305"/>
      <c r="F81" s="305"/>
      <c r="G81" s="305"/>
      <c r="H81" s="305"/>
      <c r="I81" s="305"/>
      <c r="J81" s="305"/>
      <c r="K81" s="305"/>
      <c r="L81" s="305"/>
      <c r="M81" s="305"/>
    </row>
    <row r="82" spans="1:13" x14ac:dyDescent="0.2">
      <c r="A82" s="305"/>
      <c r="B82" s="305"/>
      <c r="C82" s="305"/>
      <c r="D82" s="305"/>
      <c r="E82" s="305"/>
      <c r="F82" s="305"/>
      <c r="G82" s="305"/>
      <c r="H82" s="305"/>
      <c r="I82" s="305"/>
      <c r="J82" s="305"/>
      <c r="K82" s="305"/>
      <c r="L82" s="305"/>
      <c r="M82" s="305"/>
    </row>
    <row r="83" spans="1:13" x14ac:dyDescent="0.2">
      <c r="A83" s="305"/>
      <c r="B83" s="305"/>
      <c r="C83" s="305"/>
      <c r="D83" s="305"/>
      <c r="E83" s="305"/>
      <c r="F83" s="305"/>
      <c r="G83" s="305"/>
      <c r="H83" s="305"/>
      <c r="I83" s="305"/>
      <c r="J83" s="305"/>
      <c r="K83" s="305"/>
      <c r="L83" s="305"/>
      <c r="M83" s="305"/>
    </row>
    <row r="84" spans="1:13" x14ac:dyDescent="0.2">
      <c r="A84" s="305"/>
      <c r="B84" s="305"/>
      <c r="C84" s="305"/>
      <c r="D84" s="305"/>
      <c r="E84" s="305"/>
      <c r="F84" s="305"/>
      <c r="G84" s="305"/>
      <c r="H84" s="305"/>
      <c r="I84" s="305"/>
      <c r="J84" s="305"/>
      <c r="K84" s="305"/>
      <c r="L84" s="305"/>
      <c r="M84" s="305"/>
    </row>
    <row r="85" spans="1:13" x14ac:dyDescent="0.2">
      <c r="A85" s="305"/>
      <c r="B85" s="305"/>
      <c r="C85" s="305"/>
      <c r="D85" s="305"/>
      <c r="E85" s="305"/>
      <c r="F85" s="305"/>
      <c r="G85" s="305"/>
      <c r="H85" s="305"/>
      <c r="I85" s="305"/>
      <c r="J85" s="305"/>
      <c r="K85" s="305"/>
      <c r="L85" s="305"/>
      <c r="M85" s="305"/>
    </row>
    <row r="86" spans="1:13" x14ac:dyDescent="0.2">
      <c r="A86" s="305"/>
      <c r="B86" s="305"/>
      <c r="C86" s="305"/>
      <c r="D86" s="305"/>
      <c r="E86" s="305"/>
      <c r="F86" s="305"/>
      <c r="G86" s="305"/>
      <c r="H86" s="305"/>
      <c r="I86" s="305"/>
      <c r="J86" s="305"/>
      <c r="K86" s="305"/>
      <c r="L86" s="305"/>
      <c r="M86" s="305"/>
    </row>
    <row r="87" spans="1:13" x14ac:dyDescent="0.2">
      <c r="A87" s="305"/>
      <c r="B87" s="305"/>
      <c r="C87" s="305"/>
      <c r="D87" s="305"/>
      <c r="E87" s="305"/>
      <c r="F87" s="305"/>
      <c r="G87" s="305"/>
      <c r="H87" s="305"/>
      <c r="I87" s="305"/>
      <c r="J87" s="305"/>
      <c r="K87" s="305"/>
      <c r="L87" s="305"/>
      <c r="M87" s="305"/>
    </row>
    <row r="88" spans="1:13" x14ac:dyDescent="0.2">
      <c r="A88" s="305"/>
      <c r="B88" s="305"/>
      <c r="C88" s="305"/>
      <c r="D88" s="305"/>
      <c r="E88" s="305"/>
      <c r="F88" s="305"/>
      <c r="G88" s="305"/>
      <c r="H88" s="305"/>
      <c r="I88" s="305"/>
      <c r="J88" s="305"/>
      <c r="K88" s="305"/>
      <c r="L88" s="305"/>
      <c r="M88" s="305"/>
    </row>
    <row r="89" spans="1:13" x14ac:dyDescent="0.2">
      <c r="A89" s="305"/>
      <c r="B89" s="305"/>
      <c r="C89" s="305"/>
      <c r="D89" s="305"/>
      <c r="E89" s="305"/>
      <c r="F89" s="305"/>
      <c r="G89" s="305"/>
      <c r="H89" s="305"/>
      <c r="I89" s="305"/>
      <c r="J89" s="305"/>
      <c r="K89" s="305"/>
      <c r="L89" s="305"/>
      <c r="M89" s="305"/>
    </row>
    <row r="90" spans="1:13" x14ac:dyDescent="0.2">
      <c r="A90" s="305"/>
      <c r="B90" s="305"/>
      <c r="C90" s="305"/>
      <c r="D90" s="305"/>
      <c r="E90" s="305"/>
      <c r="F90" s="305"/>
      <c r="G90" s="305"/>
      <c r="H90" s="305"/>
      <c r="I90" s="305"/>
      <c r="J90" s="305"/>
      <c r="K90" s="305"/>
      <c r="L90" s="305"/>
      <c r="M90" s="305"/>
    </row>
    <row r="91" spans="1:13" x14ac:dyDescent="0.2">
      <c r="A91" s="305"/>
      <c r="B91" s="305"/>
      <c r="C91" s="305"/>
      <c r="D91" s="305"/>
      <c r="E91" s="305"/>
      <c r="F91" s="305"/>
      <c r="G91" s="305"/>
      <c r="H91" s="305"/>
      <c r="I91" s="305"/>
      <c r="J91" s="305"/>
      <c r="K91" s="305"/>
      <c r="L91" s="305"/>
      <c r="M91" s="305"/>
    </row>
    <row r="92" spans="1:13" x14ac:dyDescent="0.2">
      <c r="A92" s="305"/>
      <c r="B92" s="305"/>
      <c r="C92" s="305"/>
      <c r="D92" s="305"/>
      <c r="E92" s="305"/>
      <c r="F92" s="305"/>
      <c r="G92" s="305"/>
      <c r="H92" s="305"/>
      <c r="I92" s="305"/>
      <c r="J92" s="305"/>
      <c r="K92" s="305"/>
      <c r="L92" s="305"/>
      <c r="M92" s="305"/>
    </row>
    <row r="93" spans="1:13" x14ac:dyDescent="0.2">
      <c r="A93" s="305"/>
      <c r="B93" s="305"/>
      <c r="C93" s="305"/>
      <c r="D93" s="305"/>
      <c r="E93" s="305"/>
      <c r="F93" s="305"/>
      <c r="G93" s="305"/>
      <c r="H93" s="305"/>
      <c r="I93" s="305"/>
      <c r="J93" s="305"/>
      <c r="K93" s="305"/>
      <c r="L93" s="305"/>
      <c r="M93" s="305"/>
    </row>
    <row r="94" spans="1:13" x14ac:dyDescent="0.2">
      <c r="A94" s="305"/>
      <c r="B94" s="305"/>
      <c r="C94" s="305"/>
      <c r="D94" s="305"/>
      <c r="E94" s="305"/>
      <c r="F94" s="305"/>
      <c r="G94" s="305"/>
      <c r="H94" s="305"/>
      <c r="I94" s="305"/>
      <c r="J94" s="305"/>
      <c r="K94" s="305"/>
      <c r="L94" s="305"/>
      <c r="M94" s="305"/>
    </row>
    <row r="95" spans="1:13" x14ac:dyDescent="0.2">
      <c r="A95" s="305"/>
      <c r="B95" s="305"/>
      <c r="C95" s="305"/>
      <c r="D95" s="305"/>
      <c r="E95" s="305"/>
      <c r="F95" s="305"/>
      <c r="G95" s="305"/>
      <c r="H95" s="305"/>
      <c r="I95" s="305"/>
      <c r="J95" s="305"/>
      <c r="K95" s="305"/>
      <c r="L95" s="305"/>
      <c r="M95" s="305"/>
    </row>
    <row r="96" spans="1:13" x14ac:dyDescent="0.2">
      <c r="A96" s="305"/>
      <c r="B96" s="305"/>
      <c r="C96" s="305"/>
      <c r="D96" s="305"/>
      <c r="E96" s="305"/>
      <c r="F96" s="305"/>
      <c r="G96" s="305"/>
      <c r="H96" s="305"/>
      <c r="I96" s="305"/>
      <c r="J96" s="305"/>
      <c r="K96" s="305"/>
      <c r="L96" s="305"/>
      <c r="M96" s="305"/>
    </row>
    <row r="97" spans="1:13" x14ac:dyDescent="0.2">
      <c r="A97" s="305"/>
      <c r="B97" s="305"/>
      <c r="C97" s="305"/>
      <c r="D97" s="305"/>
      <c r="E97" s="305"/>
      <c r="F97" s="305"/>
      <c r="G97" s="305"/>
      <c r="H97" s="305"/>
      <c r="I97" s="305"/>
      <c r="J97" s="305"/>
      <c r="K97" s="305"/>
      <c r="L97" s="305"/>
      <c r="M97" s="305"/>
    </row>
    <row r="98" spans="1:13" x14ac:dyDescent="0.2">
      <c r="A98" s="305"/>
      <c r="B98" s="305"/>
      <c r="C98" s="305"/>
      <c r="D98" s="305"/>
      <c r="E98" s="305"/>
      <c r="F98" s="305"/>
      <c r="G98" s="305"/>
      <c r="H98" s="305"/>
      <c r="I98" s="305"/>
      <c r="J98" s="305"/>
      <c r="K98" s="305"/>
      <c r="L98" s="305"/>
      <c r="M98" s="305"/>
    </row>
    <row r="99" spans="1:13" x14ac:dyDescent="0.2">
      <c r="A99" s="305"/>
      <c r="B99" s="305"/>
      <c r="C99" s="305"/>
      <c r="D99" s="305"/>
      <c r="E99" s="305"/>
      <c r="F99" s="305"/>
      <c r="G99" s="305"/>
      <c r="H99" s="305"/>
      <c r="I99" s="305"/>
      <c r="J99" s="305"/>
      <c r="K99" s="305"/>
      <c r="L99" s="305"/>
      <c r="M99" s="305"/>
    </row>
    <row r="100" spans="1:13" x14ac:dyDescent="0.2">
      <c r="A100" s="305"/>
      <c r="B100" s="305"/>
      <c r="C100" s="305"/>
      <c r="D100" s="305"/>
      <c r="E100" s="305"/>
      <c r="F100" s="305"/>
      <c r="G100" s="305"/>
      <c r="H100" s="305"/>
      <c r="I100" s="305"/>
      <c r="J100" s="305"/>
      <c r="K100" s="305"/>
      <c r="L100" s="305"/>
      <c r="M100" s="305"/>
    </row>
    <row r="101" spans="1:13" x14ac:dyDescent="0.2">
      <c r="A101" s="305"/>
      <c r="B101" s="305"/>
      <c r="C101" s="305"/>
      <c r="D101" s="305"/>
      <c r="E101" s="305"/>
      <c r="F101" s="305"/>
      <c r="G101" s="305"/>
      <c r="H101" s="305"/>
      <c r="I101" s="305"/>
      <c r="J101" s="305"/>
      <c r="K101" s="305"/>
      <c r="L101" s="305"/>
      <c r="M101" s="305"/>
    </row>
    <row r="102" spans="1:13" x14ac:dyDescent="0.2">
      <c r="A102" s="305"/>
      <c r="B102" s="305"/>
      <c r="C102" s="305"/>
      <c r="D102" s="305"/>
      <c r="E102" s="305"/>
      <c r="F102" s="305"/>
      <c r="G102" s="305"/>
      <c r="H102" s="305"/>
      <c r="I102" s="305"/>
      <c r="J102" s="305"/>
      <c r="K102" s="305"/>
      <c r="L102" s="305"/>
      <c r="M102" s="305"/>
    </row>
  </sheetData>
  <pageMargins left="0.25" right="0.25" top="1" bottom="1" header="0.5" footer="0.5"/>
  <pageSetup scale="8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R120"/>
  <sheetViews>
    <sheetView zoomScaleNormal="100" workbookViewId="0">
      <selection activeCell="F41" sqref="F41"/>
    </sheetView>
  </sheetViews>
  <sheetFormatPr defaultRowHeight="12.75" x14ac:dyDescent="0.2"/>
  <cols>
    <col min="2" max="2" width="6.5703125" customWidth="1"/>
    <col min="3" max="13" width="10.7109375" customWidth="1"/>
    <col min="14" max="14" width="3.7109375" style="66" customWidth="1"/>
    <col min="15" max="15" width="10.7109375" customWidth="1"/>
    <col min="16" max="16" width="14.5703125" bestFit="1" customWidth="1"/>
    <col min="258" max="258" width="6.5703125" customWidth="1"/>
    <col min="259" max="269" width="10.7109375" customWidth="1"/>
    <col min="270" max="270" width="3.7109375" customWidth="1"/>
    <col min="271" max="271" width="10.7109375" customWidth="1"/>
    <col min="272" max="272" width="14.5703125" bestFit="1" customWidth="1"/>
    <col min="514" max="514" width="6.5703125" customWidth="1"/>
    <col min="515" max="525" width="10.7109375" customWidth="1"/>
    <col min="526" max="526" width="3.7109375" customWidth="1"/>
    <col min="527" max="527" width="10.7109375" customWidth="1"/>
    <col min="528" max="528" width="14.5703125" bestFit="1" customWidth="1"/>
    <col min="770" max="770" width="6.5703125" customWidth="1"/>
    <col min="771" max="781" width="10.7109375" customWidth="1"/>
    <col min="782" max="782" width="3.7109375" customWidth="1"/>
    <col min="783" max="783" width="10.7109375" customWidth="1"/>
    <col min="784" max="784" width="14.5703125" bestFit="1" customWidth="1"/>
    <col min="1026" max="1026" width="6.5703125" customWidth="1"/>
    <col min="1027" max="1037" width="10.7109375" customWidth="1"/>
    <col min="1038" max="1038" width="3.7109375" customWidth="1"/>
    <col min="1039" max="1039" width="10.7109375" customWidth="1"/>
    <col min="1040" max="1040" width="14.5703125" bestFit="1" customWidth="1"/>
    <col min="1282" max="1282" width="6.5703125" customWidth="1"/>
    <col min="1283" max="1293" width="10.7109375" customWidth="1"/>
    <col min="1294" max="1294" width="3.7109375" customWidth="1"/>
    <col min="1295" max="1295" width="10.7109375" customWidth="1"/>
    <col min="1296" max="1296" width="14.5703125" bestFit="1" customWidth="1"/>
    <col min="1538" max="1538" width="6.5703125" customWidth="1"/>
    <col min="1539" max="1549" width="10.7109375" customWidth="1"/>
    <col min="1550" max="1550" width="3.7109375" customWidth="1"/>
    <col min="1551" max="1551" width="10.7109375" customWidth="1"/>
    <col min="1552" max="1552" width="14.5703125" bestFit="1" customWidth="1"/>
    <col min="1794" max="1794" width="6.5703125" customWidth="1"/>
    <col min="1795" max="1805" width="10.7109375" customWidth="1"/>
    <col min="1806" max="1806" width="3.7109375" customWidth="1"/>
    <col min="1807" max="1807" width="10.7109375" customWidth="1"/>
    <col min="1808" max="1808" width="14.5703125" bestFit="1" customWidth="1"/>
    <col min="2050" max="2050" width="6.5703125" customWidth="1"/>
    <col min="2051" max="2061" width="10.7109375" customWidth="1"/>
    <col min="2062" max="2062" width="3.7109375" customWidth="1"/>
    <col min="2063" max="2063" width="10.7109375" customWidth="1"/>
    <col min="2064" max="2064" width="14.5703125" bestFit="1" customWidth="1"/>
    <col min="2306" max="2306" width="6.5703125" customWidth="1"/>
    <col min="2307" max="2317" width="10.7109375" customWidth="1"/>
    <col min="2318" max="2318" width="3.7109375" customWidth="1"/>
    <col min="2319" max="2319" width="10.7109375" customWidth="1"/>
    <col min="2320" max="2320" width="14.5703125" bestFit="1" customWidth="1"/>
    <col min="2562" max="2562" width="6.5703125" customWidth="1"/>
    <col min="2563" max="2573" width="10.7109375" customWidth="1"/>
    <col min="2574" max="2574" width="3.7109375" customWidth="1"/>
    <col min="2575" max="2575" width="10.7109375" customWidth="1"/>
    <col min="2576" max="2576" width="14.5703125" bestFit="1" customWidth="1"/>
    <col min="2818" max="2818" width="6.5703125" customWidth="1"/>
    <col min="2819" max="2829" width="10.7109375" customWidth="1"/>
    <col min="2830" max="2830" width="3.7109375" customWidth="1"/>
    <col min="2831" max="2831" width="10.7109375" customWidth="1"/>
    <col min="2832" max="2832" width="14.5703125" bestFit="1" customWidth="1"/>
    <col min="3074" max="3074" width="6.5703125" customWidth="1"/>
    <col min="3075" max="3085" width="10.7109375" customWidth="1"/>
    <col min="3086" max="3086" width="3.7109375" customWidth="1"/>
    <col min="3087" max="3087" width="10.7109375" customWidth="1"/>
    <col min="3088" max="3088" width="14.5703125" bestFit="1" customWidth="1"/>
    <col min="3330" max="3330" width="6.5703125" customWidth="1"/>
    <col min="3331" max="3341" width="10.7109375" customWidth="1"/>
    <col min="3342" max="3342" width="3.7109375" customWidth="1"/>
    <col min="3343" max="3343" width="10.7109375" customWidth="1"/>
    <col min="3344" max="3344" width="14.5703125" bestFit="1" customWidth="1"/>
    <col min="3586" max="3586" width="6.5703125" customWidth="1"/>
    <col min="3587" max="3597" width="10.7109375" customWidth="1"/>
    <col min="3598" max="3598" width="3.7109375" customWidth="1"/>
    <col min="3599" max="3599" width="10.7109375" customWidth="1"/>
    <col min="3600" max="3600" width="14.5703125" bestFit="1" customWidth="1"/>
    <col min="3842" max="3842" width="6.5703125" customWidth="1"/>
    <col min="3843" max="3853" width="10.7109375" customWidth="1"/>
    <col min="3854" max="3854" width="3.7109375" customWidth="1"/>
    <col min="3855" max="3855" width="10.7109375" customWidth="1"/>
    <col min="3856" max="3856" width="14.5703125" bestFit="1" customWidth="1"/>
    <col min="4098" max="4098" width="6.5703125" customWidth="1"/>
    <col min="4099" max="4109" width="10.7109375" customWidth="1"/>
    <col min="4110" max="4110" width="3.7109375" customWidth="1"/>
    <col min="4111" max="4111" width="10.7109375" customWidth="1"/>
    <col min="4112" max="4112" width="14.5703125" bestFit="1" customWidth="1"/>
    <col min="4354" max="4354" width="6.5703125" customWidth="1"/>
    <col min="4355" max="4365" width="10.7109375" customWidth="1"/>
    <col min="4366" max="4366" width="3.7109375" customWidth="1"/>
    <col min="4367" max="4367" width="10.7109375" customWidth="1"/>
    <col min="4368" max="4368" width="14.5703125" bestFit="1" customWidth="1"/>
    <col min="4610" max="4610" width="6.5703125" customWidth="1"/>
    <col min="4611" max="4621" width="10.7109375" customWidth="1"/>
    <col min="4622" max="4622" width="3.7109375" customWidth="1"/>
    <col min="4623" max="4623" width="10.7109375" customWidth="1"/>
    <col min="4624" max="4624" width="14.5703125" bestFit="1" customWidth="1"/>
    <col min="4866" max="4866" width="6.5703125" customWidth="1"/>
    <col min="4867" max="4877" width="10.7109375" customWidth="1"/>
    <col min="4878" max="4878" width="3.7109375" customWidth="1"/>
    <col min="4879" max="4879" width="10.7109375" customWidth="1"/>
    <col min="4880" max="4880" width="14.5703125" bestFit="1" customWidth="1"/>
    <col min="5122" max="5122" width="6.5703125" customWidth="1"/>
    <col min="5123" max="5133" width="10.7109375" customWidth="1"/>
    <col min="5134" max="5134" width="3.7109375" customWidth="1"/>
    <col min="5135" max="5135" width="10.7109375" customWidth="1"/>
    <col min="5136" max="5136" width="14.5703125" bestFit="1" customWidth="1"/>
    <col min="5378" max="5378" width="6.5703125" customWidth="1"/>
    <col min="5379" max="5389" width="10.7109375" customWidth="1"/>
    <col min="5390" max="5390" width="3.7109375" customWidth="1"/>
    <col min="5391" max="5391" width="10.7109375" customWidth="1"/>
    <col min="5392" max="5392" width="14.5703125" bestFit="1" customWidth="1"/>
    <col min="5634" max="5634" width="6.5703125" customWidth="1"/>
    <col min="5635" max="5645" width="10.7109375" customWidth="1"/>
    <col min="5646" max="5646" width="3.7109375" customWidth="1"/>
    <col min="5647" max="5647" width="10.7109375" customWidth="1"/>
    <col min="5648" max="5648" width="14.5703125" bestFit="1" customWidth="1"/>
    <col min="5890" max="5890" width="6.5703125" customWidth="1"/>
    <col min="5891" max="5901" width="10.7109375" customWidth="1"/>
    <col min="5902" max="5902" width="3.7109375" customWidth="1"/>
    <col min="5903" max="5903" width="10.7109375" customWidth="1"/>
    <col min="5904" max="5904" width="14.5703125" bestFit="1" customWidth="1"/>
    <col min="6146" max="6146" width="6.5703125" customWidth="1"/>
    <col min="6147" max="6157" width="10.7109375" customWidth="1"/>
    <col min="6158" max="6158" width="3.7109375" customWidth="1"/>
    <col min="6159" max="6159" width="10.7109375" customWidth="1"/>
    <col min="6160" max="6160" width="14.5703125" bestFit="1" customWidth="1"/>
    <col min="6402" max="6402" width="6.5703125" customWidth="1"/>
    <col min="6403" max="6413" width="10.7109375" customWidth="1"/>
    <col min="6414" max="6414" width="3.7109375" customWidth="1"/>
    <col min="6415" max="6415" width="10.7109375" customWidth="1"/>
    <col min="6416" max="6416" width="14.5703125" bestFit="1" customWidth="1"/>
    <col min="6658" max="6658" width="6.5703125" customWidth="1"/>
    <col min="6659" max="6669" width="10.7109375" customWidth="1"/>
    <col min="6670" max="6670" width="3.7109375" customWidth="1"/>
    <col min="6671" max="6671" width="10.7109375" customWidth="1"/>
    <col min="6672" max="6672" width="14.5703125" bestFit="1" customWidth="1"/>
    <col min="6914" max="6914" width="6.5703125" customWidth="1"/>
    <col min="6915" max="6925" width="10.7109375" customWidth="1"/>
    <col min="6926" max="6926" width="3.7109375" customWidth="1"/>
    <col min="6927" max="6927" width="10.7109375" customWidth="1"/>
    <col min="6928" max="6928" width="14.5703125" bestFit="1" customWidth="1"/>
    <col min="7170" max="7170" width="6.5703125" customWidth="1"/>
    <col min="7171" max="7181" width="10.7109375" customWidth="1"/>
    <col min="7182" max="7182" width="3.7109375" customWidth="1"/>
    <col min="7183" max="7183" width="10.7109375" customWidth="1"/>
    <col min="7184" max="7184" width="14.5703125" bestFit="1" customWidth="1"/>
    <col min="7426" max="7426" width="6.5703125" customWidth="1"/>
    <col min="7427" max="7437" width="10.7109375" customWidth="1"/>
    <col min="7438" max="7438" width="3.7109375" customWidth="1"/>
    <col min="7439" max="7439" width="10.7109375" customWidth="1"/>
    <col min="7440" max="7440" width="14.5703125" bestFit="1" customWidth="1"/>
    <col min="7682" max="7682" width="6.5703125" customWidth="1"/>
    <col min="7683" max="7693" width="10.7109375" customWidth="1"/>
    <col min="7694" max="7694" width="3.7109375" customWidth="1"/>
    <col min="7695" max="7695" width="10.7109375" customWidth="1"/>
    <col min="7696" max="7696" width="14.5703125" bestFit="1" customWidth="1"/>
    <col min="7938" max="7938" width="6.5703125" customWidth="1"/>
    <col min="7939" max="7949" width="10.7109375" customWidth="1"/>
    <col min="7950" max="7950" width="3.7109375" customWidth="1"/>
    <col min="7951" max="7951" width="10.7109375" customWidth="1"/>
    <col min="7952" max="7952" width="14.5703125" bestFit="1" customWidth="1"/>
    <col min="8194" max="8194" width="6.5703125" customWidth="1"/>
    <col min="8195" max="8205" width="10.7109375" customWidth="1"/>
    <col min="8206" max="8206" width="3.7109375" customWidth="1"/>
    <col min="8207" max="8207" width="10.7109375" customWidth="1"/>
    <col min="8208" max="8208" width="14.5703125" bestFit="1" customWidth="1"/>
    <col min="8450" max="8450" width="6.5703125" customWidth="1"/>
    <col min="8451" max="8461" width="10.7109375" customWidth="1"/>
    <col min="8462" max="8462" width="3.7109375" customWidth="1"/>
    <col min="8463" max="8463" width="10.7109375" customWidth="1"/>
    <col min="8464" max="8464" width="14.5703125" bestFit="1" customWidth="1"/>
    <col min="8706" max="8706" width="6.5703125" customWidth="1"/>
    <col min="8707" max="8717" width="10.7109375" customWidth="1"/>
    <col min="8718" max="8718" width="3.7109375" customWidth="1"/>
    <col min="8719" max="8719" width="10.7109375" customWidth="1"/>
    <col min="8720" max="8720" width="14.5703125" bestFit="1" customWidth="1"/>
    <col min="8962" max="8962" width="6.5703125" customWidth="1"/>
    <col min="8963" max="8973" width="10.7109375" customWidth="1"/>
    <col min="8974" max="8974" width="3.7109375" customWidth="1"/>
    <col min="8975" max="8975" width="10.7109375" customWidth="1"/>
    <col min="8976" max="8976" width="14.5703125" bestFit="1" customWidth="1"/>
    <col min="9218" max="9218" width="6.5703125" customWidth="1"/>
    <col min="9219" max="9229" width="10.7109375" customWidth="1"/>
    <col min="9230" max="9230" width="3.7109375" customWidth="1"/>
    <col min="9231" max="9231" width="10.7109375" customWidth="1"/>
    <col min="9232" max="9232" width="14.5703125" bestFit="1" customWidth="1"/>
    <col min="9474" max="9474" width="6.5703125" customWidth="1"/>
    <col min="9475" max="9485" width="10.7109375" customWidth="1"/>
    <col min="9486" max="9486" width="3.7109375" customWidth="1"/>
    <col min="9487" max="9487" width="10.7109375" customWidth="1"/>
    <col min="9488" max="9488" width="14.5703125" bestFit="1" customWidth="1"/>
    <col min="9730" max="9730" width="6.5703125" customWidth="1"/>
    <col min="9731" max="9741" width="10.7109375" customWidth="1"/>
    <col min="9742" max="9742" width="3.7109375" customWidth="1"/>
    <col min="9743" max="9743" width="10.7109375" customWidth="1"/>
    <col min="9744" max="9744" width="14.5703125" bestFit="1" customWidth="1"/>
    <col min="9986" max="9986" width="6.5703125" customWidth="1"/>
    <col min="9987" max="9997" width="10.7109375" customWidth="1"/>
    <col min="9998" max="9998" width="3.7109375" customWidth="1"/>
    <col min="9999" max="9999" width="10.7109375" customWidth="1"/>
    <col min="10000" max="10000" width="14.5703125" bestFit="1" customWidth="1"/>
    <col min="10242" max="10242" width="6.5703125" customWidth="1"/>
    <col min="10243" max="10253" width="10.7109375" customWidth="1"/>
    <col min="10254" max="10254" width="3.7109375" customWidth="1"/>
    <col min="10255" max="10255" width="10.7109375" customWidth="1"/>
    <col min="10256" max="10256" width="14.5703125" bestFit="1" customWidth="1"/>
    <col min="10498" max="10498" width="6.5703125" customWidth="1"/>
    <col min="10499" max="10509" width="10.7109375" customWidth="1"/>
    <col min="10510" max="10510" width="3.7109375" customWidth="1"/>
    <col min="10511" max="10511" width="10.7109375" customWidth="1"/>
    <col min="10512" max="10512" width="14.5703125" bestFit="1" customWidth="1"/>
    <col min="10754" max="10754" width="6.5703125" customWidth="1"/>
    <col min="10755" max="10765" width="10.7109375" customWidth="1"/>
    <col min="10766" max="10766" width="3.7109375" customWidth="1"/>
    <col min="10767" max="10767" width="10.7109375" customWidth="1"/>
    <col min="10768" max="10768" width="14.5703125" bestFit="1" customWidth="1"/>
    <col min="11010" max="11010" width="6.5703125" customWidth="1"/>
    <col min="11011" max="11021" width="10.7109375" customWidth="1"/>
    <col min="11022" max="11022" width="3.7109375" customWidth="1"/>
    <col min="11023" max="11023" width="10.7109375" customWidth="1"/>
    <col min="11024" max="11024" width="14.5703125" bestFit="1" customWidth="1"/>
    <col min="11266" max="11266" width="6.5703125" customWidth="1"/>
    <col min="11267" max="11277" width="10.7109375" customWidth="1"/>
    <col min="11278" max="11278" width="3.7109375" customWidth="1"/>
    <col min="11279" max="11279" width="10.7109375" customWidth="1"/>
    <col min="11280" max="11280" width="14.5703125" bestFit="1" customWidth="1"/>
    <col min="11522" max="11522" width="6.5703125" customWidth="1"/>
    <col min="11523" max="11533" width="10.7109375" customWidth="1"/>
    <col min="11534" max="11534" width="3.7109375" customWidth="1"/>
    <col min="11535" max="11535" width="10.7109375" customWidth="1"/>
    <col min="11536" max="11536" width="14.5703125" bestFit="1" customWidth="1"/>
    <col min="11778" max="11778" width="6.5703125" customWidth="1"/>
    <col min="11779" max="11789" width="10.7109375" customWidth="1"/>
    <col min="11790" max="11790" width="3.7109375" customWidth="1"/>
    <col min="11791" max="11791" width="10.7109375" customWidth="1"/>
    <col min="11792" max="11792" width="14.5703125" bestFit="1" customWidth="1"/>
    <col min="12034" max="12034" width="6.5703125" customWidth="1"/>
    <col min="12035" max="12045" width="10.7109375" customWidth="1"/>
    <col min="12046" max="12046" width="3.7109375" customWidth="1"/>
    <col min="12047" max="12047" width="10.7109375" customWidth="1"/>
    <col min="12048" max="12048" width="14.5703125" bestFit="1" customWidth="1"/>
    <col min="12290" max="12290" width="6.5703125" customWidth="1"/>
    <col min="12291" max="12301" width="10.7109375" customWidth="1"/>
    <col min="12302" max="12302" width="3.7109375" customWidth="1"/>
    <col min="12303" max="12303" width="10.7109375" customWidth="1"/>
    <col min="12304" max="12304" width="14.5703125" bestFit="1" customWidth="1"/>
    <col min="12546" max="12546" width="6.5703125" customWidth="1"/>
    <col min="12547" max="12557" width="10.7109375" customWidth="1"/>
    <col min="12558" max="12558" width="3.7109375" customWidth="1"/>
    <col min="12559" max="12559" width="10.7109375" customWidth="1"/>
    <col min="12560" max="12560" width="14.5703125" bestFit="1" customWidth="1"/>
    <col min="12802" max="12802" width="6.5703125" customWidth="1"/>
    <col min="12803" max="12813" width="10.7109375" customWidth="1"/>
    <col min="12814" max="12814" width="3.7109375" customWidth="1"/>
    <col min="12815" max="12815" width="10.7109375" customWidth="1"/>
    <col min="12816" max="12816" width="14.5703125" bestFit="1" customWidth="1"/>
    <col min="13058" max="13058" width="6.5703125" customWidth="1"/>
    <col min="13059" max="13069" width="10.7109375" customWidth="1"/>
    <col min="13070" max="13070" width="3.7109375" customWidth="1"/>
    <col min="13071" max="13071" width="10.7109375" customWidth="1"/>
    <col min="13072" max="13072" width="14.5703125" bestFit="1" customWidth="1"/>
    <col min="13314" max="13314" width="6.5703125" customWidth="1"/>
    <col min="13315" max="13325" width="10.7109375" customWidth="1"/>
    <col min="13326" max="13326" width="3.7109375" customWidth="1"/>
    <col min="13327" max="13327" width="10.7109375" customWidth="1"/>
    <col min="13328" max="13328" width="14.5703125" bestFit="1" customWidth="1"/>
    <col min="13570" max="13570" width="6.5703125" customWidth="1"/>
    <col min="13571" max="13581" width="10.7109375" customWidth="1"/>
    <col min="13582" max="13582" width="3.7109375" customWidth="1"/>
    <col min="13583" max="13583" width="10.7109375" customWidth="1"/>
    <col min="13584" max="13584" width="14.5703125" bestFit="1" customWidth="1"/>
    <col min="13826" max="13826" width="6.5703125" customWidth="1"/>
    <col min="13827" max="13837" width="10.7109375" customWidth="1"/>
    <col min="13838" max="13838" width="3.7109375" customWidth="1"/>
    <col min="13839" max="13839" width="10.7109375" customWidth="1"/>
    <col min="13840" max="13840" width="14.5703125" bestFit="1" customWidth="1"/>
    <col min="14082" max="14082" width="6.5703125" customWidth="1"/>
    <col min="14083" max="14093" width="10.7109375" customWidth="1"/>
    <col min="14094" max="14094" width="3.7109375" customWidth="1"/>
    <col min="14095" max="14095" width="10.7109375" customWidth="1"/>
    <col min="14096" max="14096" width="14.5703125" bestFit="1" customWidth="1"/>
    <col min="14338" max="14338" width="6.5703125" customWidth="1"/>
    <col min="14339" max="14349" width="10.7109375" customWidth="1"/>
    <col min="14350" max="14350" width="3.7109375" customWidth="1"/>
    <col min="14351" max="14351" width="10.7109375" customWidth="1"/>
    <col min="14352" max="14352" width="14.5703125" bestFit="1" customWidth="1"/>
    <col min="14594" max="14594" width="6.5703125" customWidth="1"/>
    <col min="14595" max="14605" width="10.7109375" customWidth="1"/>
    <col min="14606" max="14606" width="3.7109375" customWidth="1"/>
    <col min="14607" max="14607" width="10.7109375" customWidth="1"/>
    <col min="14608" max="14608" width="14.5703125" bestFit="1" customWidth="1"/>
    <col min="14850" max="14850" width="6.5703125" customWidth="1"/>
    <col min="14851" max="14861" width="10.7109375" customWidth="1"/>
    <col min="14862" max="14862" width="3.7109375" customWidth="1"/>
    <col min="14863" max="14863" width="10.7109375" customWidth="1"/>
    <col min="14864" max="14864" width="14.5703125" bestFit="1" customWidth="1"/>
    <col min="15106" max="15106" width="6.5703125" customWidth="1"/>
    <col min="15107" max="15117" width="10.7109375" customWidth="1"/>
    <col min="15118" max="15118" width="3.7109375" customWidth="1"/>
    <col min="15119" max="15119" width="10.7109375" customWidth="1"/>
    <col min="15120" max="15120" width="14.5703125" bestFit="1" customWidth="1"/>
    <col min="15362" max="15362" width="6.5703125" customWidth="1"/>
    <col min="15363" max="15373" width="10.7109375" customWidth="1"/>
    <col min="15374" max="15374" width="3.7109375" customWidth="1"/>
    <col min="15375" max="15375" width="10.7109375" customWidth="1"/>
    <col min="15376" max="15376" width="14.5703125" bestFit="1" customWidth="1"/>
    <col min="15618" max="15618" width="6.5703125" customWidth="1"/>
    <col min="15619" max="15629" width="10.7109375" customWidth="1"/>
    <col min="15630" max="15630" width="3.7109375" customWidth="1"/>
    <col min="15631" max="15631" width="10.7109375" customWidth="1"/>
    <col min="15632" max="15632" width="14.5703125" bestFit="1" customWidth="1"/>
    <col min="15874" max="15874" width="6.5703125" customWidth="1"/>
    <col min="15875" max="15885" width="10.7109375" customWidth="1"/>
    <col min="15886" max="15886" width="3.7109375" customWidth="1"/>
    <col min="15887" max="15887" width="10.7109375" customWidth="1"/>
    <col min="15888" max="15888" width="14.5703125" bestFit="1" customWidth="1"/>
    <col min="16130" max="16130" width="6.5703125" customWidth="1"/>
    <col min="16131" max="16141" width="10.7109375" customWidth="1"/>
    <col min="16142" max="16142" width="3.7109375" customWidth="1"/>
    <col min="16143" max="16143" width="10.7109375" customWidth="1"/>
    <col min="16144" max="16144" width="14.5703125" bestFit="1" customWidth="1"/>
  </cols>
  <sheetData>
    <row r="1" spans="1:18" x14ac:dyDescent="0.2">
      <c r="A1" s="52" t="str">
        <f>"Commodity Value Timeframe:  "&amp;TEXT(A7,"mmmm")&amp;" - "&amp;TEXT(A12,"mmmm")</f>
        <v>Commodity Value Timeframe:  May - October</v>
      </c>
      <c r="B1" s="53"/>
    </row>
    <row r="2" spans="1:18" ht="13.5" customHeight="1" x14ac:dyDescent="0.2">
      <c r="A2" s="54" t="str">
        <f>'WUTC_KENT_MF 181017'!A1</f>
        <v>Kent-Meridian Disposal</v>
      </c>
      <c r="B2" s="54"/>
    </row>
    <row r="3" spans="1:18" ht="13.5" customHeight="1" x14ac:dyDescent="0.2">
      <c r="A3" s="54"/>
      <c r="B3" s="54"/>
    </row>
    <row r="4" spans="1:18" x14ac:dyDescent="0.2">
      <c r="B4" s="64"/>
      <c r="C4" s="56" t="s">
        <v>21</v>
      </c>
      <c r="D4" s="56" t="s">
        <v>22</v>
      </c>
      <c r="E4" s="56" t="s">
        <v>55</v>
      </c>
      <c r="F4" s="56" t="s">
        <v>23</v>
      </c>
      <c r="G4" s="56" t="s">
        <v>24</v>
      </c>
      <c r="H4" s="56" t="s">
        <v>25</v>
      </c>
      <c r="I4" s="56" t="s">
        <v>26</v>
      </c>
      <c r="J4" s="56" t="s">
        <v>27</v>
      </c>
      <c r="K4" s="56" t="s">
        <v>28</v>
      </c>
      <c r="L4" s="56" t="s">
        <v>29</v>
      </c>
      <c r="M4" s="56" t="s">
        <v>30</v>
      </c>
      <c r="N4"/>
      <c r="O4" s="67"/>
    </row>
    <row r="5" spans="1:18" x14ac:dyDescent="0.2">
      <c r="B5" s="64"/>
      <c r="C5" s="64"/>
      <c r="D5" s="64"/>
      <c r="E5" s="64"/>
      <c r="F5" s="64"/>
      <c r="G5" s="64"/>
      <c r="H5" s="64"/>
      <c r="I5" s="64"/>
      <c r="J5" s="64"/>
      <c r="K5" s="64"/>
      <c r="L5" s="64"/>
      <c r="M5" s="64"/>
      <c r="N5"/>
      <c r="O5" s="67" t="str">
        <f>+TEXT(P20,"00.0%")&amp;" of"</f>
        <v>50.0% of</v>
      </c>
    </row>
    <row r="6" spans="1:18" x14ac:dyDescent="0.2">
      <c r="B6" s="64"/>
      <c r="C6" s="64"/>
      <c r="D6" s="64"/>
      <c r="E6" s="64"/>
      <c r="F6" s="64"/>
      <c r="G6" s="64"/>
      <c r="H6" s="64"/>
      <c r="I6" s="64"/>
      <c r="J6" s="64"/>
      <c r="K6" s="64"/>
      <c r="L6" s="64"/>
      <c r="M6" s="64"/>
      <c r="N6"/>
      <c r="O6" s="67" t="s">
        <v>30</v>
      </c>
      <c r="P6" s="56" t="s">
        <v>68</v>
      </c>
      <c r="Q6" s="140"/>
    </row>
    <row r="7" spans="1:18" x14ac:dyDescent="0.2">
      <c r="A7" s="59">
        <f>+'Pricing MF 181017'!A7</f>
        <v>43251</v>
      </c>
      <c r="B7" s="64"/>
      <c r="C7" s="69">
        <f>'Commodity Tons MF 181017 '!C7*'Pricing MF 181017'!C7</f>
        <v>74.473008749999991</v>
      </c>
      <c r="D7" s="69">
        <f>'Commodity Tons MF 181017 '!D7*'Pricing MF 181017'!D7</f>
        <v>-40.952926560000002</v>
      </c>
      <c r="E7" s="69">
        <f>'Commodity Tons MF 181017 '!E7*'Pricing MF 181017'!E7</f>
        <v>0</v>
      </c>
      <c r="F7" s="69">
        <f>'Commodity Tons MF 181017 '!F7*'Pricing MF 181017'!F7</f>
        <v>13.714285199999999</v>
      </c>
      <c r="G7" s="69">
        <f>'Commodity Tons MF 181017 '!G7*'Pricing MF 181017'!G7</f>
        <v>0</v>
      </c>
      <c r="H7" s="69">
        <f>'Commodity Tons MF 181017 '!H7*'Pricing MF 181017'!H7</f>
        <v>-67.815891359999981</v>
      </c>
      <c r="I7" s="69">
        <f>'Commodity Tons MF 181017 '!I7*'Pricing MF 181017'!I7</f>
        <v>20.683407255000002</v>
      </c>
      <c r="J7" s="69">
        <f>'Commodity Tons MF 181017 '!J7*'Pricing MF 181017'!J7</f>
        <v>20.683407255000002</v>
      </c>
      <c r="K7" s="69">
        <f>'Commodity Tons MF 181017 '!K7*'Pricing MF 181017'!K7</f>
        <v>71.115770879999985</v>
      </c>
      <c r="L7" s="69">
        <f>'Commodity Tons MF 181017 '!L7*'Pricing MF 181017'!L7</f>
        <v>-73.187484790000155</v>
      </c>
      <c r="M7" s="169">
        <f t="shared" ref="M7:M18" si="0">SUM(C7:L7)</f>
        <v>18.713576629999835</v>
      </c>
      <c r="N7"/>
      <c r="O7" s="139">
        <f t="shared" ref="O7:O18" si="1">M7*P7</f>
        <v>9.3567883149999176</v>
      </c>
      <c r="P7" s="362">
        <v>0.5</v>
      </c>
      <c r="Q7" s="375"/>
      <c r="R7" s="68"/>
    </row>
    <row r="8" spans="1:18" x14ac:dyDescent="0.2">
      <c r="A8" s="59">
        <f>+'Pricing MF 181017'!A8</f>
        <v>43281</v>
      </c>
      <c r="B8" s="64"/>
      <c r="C8" s="69">
        <f>'Commodity Tons MF 181017 '!C8*'Pricing MF 181017'!C8</f>
        <v>75.298216499999995</v>
      </c>
      <c r="D8" s="69">
        <f>'Commodity Tons MF 181017 '!D8*'Pricing MF 181017'!D8</f>
        <v>-30.338190480000002</v>
      </c>
      <c r="E8" s="69">
        <f>'Commodity Tons MF 181017 '!E8*'Pricing MF 181017'!E8</f>
        <v>0</v>
      </c>
      <c r="F8" s="69">
        <f>'Commodity Tons MF 181017 '!F8*'Pricing MF 181017'!F8</f>
        <v>13.774825350000002</v>
      </c>
      <c r="G8" s="69">
        <f>'Commodity Tons MF 181017 '!G8*'Pricing MF 181017'!G8</f>
        <v>0</v>
      </c>
      <c r="H8" s="69">
        <f>'Commodity Tons MF 181017 '!H8*'Pricing MF 181017'!H8</f>
        <v>9.2713919999999987</v>
      </c>
      <c r="I8" s="69">
        <f>'Commodity Tons MF 181017 '!I8*'Pricing MF 181017'!I8</f>
        <v>17.713076940000001</v>
      </c>
      <c r="J8" s="69">
        <f>'Commodity Tons MF 181017 '!J8*'Pricing MF 181017'!J8</f>
        <v>17.713076940000001</v>
      </c>
      <c r="K8" s="69">
        <f>'Commodity Tons MF 181017 '!K8*'Pricing MF 181017'!K8</f>
        <v>96.083069940000001</v>
      </c>
      <c r="L8" s="69">
        <f>'Commodity Tons MF 181017 '!L8*'Pricing MF 181017'!L8</f>
        <v>-71.591247390000163</v>
      </c>
      <c r="M8" s="169">
        <f t="shared" si="0"/>
        <v>127.92421979999985</v>
      </c>
      <c r="N8"/>
      <c r="O8" s="139">
        <f t="shared" si="1"/>
        <v>63.962109899999923</v>
      </c>
      <c r="P8" s="362">
        <v>0.5</v>
      </c>
      <c r="Q8" s="375"/>
      <c r="R8" s="68"/>
    </row>
    <row r="9" spans="1:18" x14ac:dyDescent="0.2">
      <c r="A9" s="59">
        <f>+'Pricing MF 181017'!A9</f>
        <v>43312</v>
      </c>
      <c r="B9" s="60"/>
      <c r="C9" s="69">
        <f>'Commodity Tons MF 181017 '!C9*'Pricing MF 181017'!C9</f>
        <v>43.696958250000002</v>
      </c>
      <c r="D9" s="69">
        <f>'Commodity Tons MF 181017 '!D9*'Pricing MF 181017'!D9</f>
        <v>-3.4525327200000007</v>
      </c>
      <c r="E9" s="69">
        <f>'Commodity Tons MF 181017 '!E9*'Pricing MF 181017'!E9</f>
        <v>0</v>
      </c>
      <c r="F9" s="69">
        <f>'Commodity Tons MF 181017 '!F9*'Pricing MF 181017'!F9</f>
        <v>8.2186202999999995</v>
      </c>
      <c r="G9" s="69">
        <f>'Commodity Tons MF 181017 '!G9*'Pricing MF 181017'!G9</f>
        <v>0</v>
      </c>
      <c r="H9" s="69">
        <f>'Commodity Tons MF 181017 '!H9*'Pricing MF 181017'!H9</f>
        <v>11.844694239999997</v>
      </c>
      <c r="I9" s="69">
        <f>'Commodity Tons MF 181017 '!I9*'Pricing MF 181017'!I9</f>
        <v>13.413607845000001</v>
      </c>
      <c r="J9" s="69">
        <f>'Commodity Tons MF 181017 '!J9*'Pricing MF 181017'!J9</f>
        <v>13.413607845000001</v>
      </c>
      <c r="K9" s="69">
        <f>'Commodity Tons MF 181017 '!K9*'Pricing MF 181017'!K9</f>
        <v>66.653678519999985</v>
      </c>
      <c r="L9" s="69">
        <f>'Commodity Tons MF 181017 '!L9*'Pricing MF 181017'!L9</f>
        <v>-43.657092890000094</v>
      </c>
      <c r="M9" s="169">
        <f t="shared" si="0"/>
        <v>110.13154138999991</v>
      </c>
      <c r="N9" s="65"/>
      <c r="O9" s="139">
        <f t="shared" si="1"/>
        <v>55.065770694999955</v>
      </c>
      <c r="P9" s="362">
        <v>0.5</v>
      </c>
      <c r="Q9" s="375"/>
      <c r="R9" s="68"/>
    </row>
    <row r="10" spans="1:18" x14ac:dyDescent="0.2">
      <c r="A10" s="59">
        <f>+'Pricing MF 181017'!A10</f>
        <v>43343</v>
      </c>
      <c r="B10" s="60"/>
      <c r="C10" s="69">
        <f>'Commodity Tons MF 181017 '!C10*'Pricing MF 181017'!C10</f>
        <v>42.418802249999999</v>
      </c>
      <c r="D10" s="69">
        <f>'Commodity Tons MF 181017 '!D10*'Pricing MF 181017'!D10</f>
        <v>0.69471791999999999</v>
      </c>
      <c r="E10" s="69">
        <f>'Commodity Tons MF 181017 '!E10*'Pricing MF 181017'!E10</f>
        <v>0</v>
      </c>
      <c r="F10" s="69">
        <f>'Commodity Tons MF 181017 '!F10*'Pricing MF 181017'!F10</f>
        <v>5.4189877500000003</v>
      </c>
      <c r="G10" s="69">
        <f>'Commodity Tons MF 181017 '!G10*'Pricing MF 181017'!G10</f>
        <v>0</v>
      </c>
      <c r="H10" s="69">
        <f>'Commodity Tons MF 181017 '!H10*'Pricing MF 181017'!H10</f>
        <v>23.106231359999995</v>
      </c>
      <c r="I10" s="69">
        <f>'Commodity Tons MF 181017 '!I10*'Pricing MF 181017'!I10</f>
        <v>20.086800749999998</v>
      </c>
      <c r="J10" s="69">
        <f>'Commodity Tons MF 181017 '!J10*'Pricing MF 181017'!J10</f>
        <v>20.086800749999998</v>
      </c>
      <c r="K10" s="69">
        <f>'Commodity Tons MF 181017 '!K10*'Pricing MF 181017'!K10</f>
        <v>57.380114879999994</v>
      </c>
      <c r="L10" s="69">
        <f>'Commodity Tons MF 181017 '!L10*'Pricing MF 181017'!L10</f>
        <v>-42.380102970000095</v>
      </c>
      <c r="M10" s="169">
        <f t="shared" si="0"/>
        <v>126.81235268999988</v>
      </c>
      <c r="N10" s="65"/>
      <c r="O10" s="139">
        <f t="shared" si="1"/>
        <v>63.406176344999942</v>
      </c>
      <c r="P10" s="362">
        <v>0.5</v>
      </c>
      <c r="Q10" s="375"/>
      <c r="R10" s="68"/>
    </row>
    <row r="11" spans="1:18" x14ac:dyDescent="0.2">
      <c r="A11" s="59">
        <f>+'Pricing MF 181017'!A11</f>
        <v>43373</v>
      </c>
      <c r="B11" s="60"/>
      <c r="C11" s="69">
        <f>'Commodity Tons MF 181017 '!C11*'Pricing MF 181017'!C11</f>
        <v>35.130663000000006</v>
      </c>
      <c r="D11" s="69">
        <f>'Commodity Tons MF 181017 '!D11*'Pricing MF 181017'!D11</f>
        <v>-12.881188320000003</v>
      </c>
      <c r="E11" s="69">
        <f>'Commodity Tons MF 181017 '!E11*'Pricing MF 181017'!E11</f>
        <v>0</v>
      </c>
      <c r="F11" s="69">
        <f>'Commodity Tons MF 181017 '!F11*'Pricing MF 181017'!F11</f>
        <v>5.7231405000000013</v>
      </c>
      <c r="G11" s="69">
        <f>'Commodity Tons MF 181017 '!G11*'Pricing MF 181017'!G11</f>
        <v>0</v>
      </c>
      <c r="H11" s="69">
        <f>'Commodity Tons MF 181017 '!H11*'Pricing MF 181017'!H11</f>
        <v>69.231561599999978</v>
      </c>
      <c r="I11" s="69">
        <f>'Commodity Tons MF 181017 '!I11*'Pricing MF 181017'!I11</f>
        <v>8.8132728300000007</v>
      </c>
      <c r="J11" s="69">
        <f>'Commodity Tons MF 181017 '!J11*'Pricing MF 181017'!J11</f>
        <v>8.8132728300000007</v>
      </c>
      <c r="K11" s="69">
        <f>'Commodity Tons MF 181017 '!K11*'Pricing MF 181017'!K11</f>
        <v>56.662788600000006</v>
      </c>
      <c r="L11" s="69">
        <f>'Commodity Tons MF 181017 '!L11*'Pricing MF 181017'!L11</f>
        <v>-39.746311260000091</v>
      </c>
      <c r="M11" s="169">
        <f t="shared" si="0"/>
        <v>131.7471997799999</v>
      </c>
      <c r="N11" s="65"/>
      <c r="O11" s="139">
        <f t="shared" si="1"/>
        <v>65.873599889999952</v>
      </c>
      <c r="P11" s="362">
        <v>0.5</v>
      </c>
      <c r="Q11" s="375"/>
      <c r="R11" s="68"/>
    </row>
    <row r="12" spans="1:18" x14ac:dyDescent="0.2">
      <c r="A12" s="59">
        <f>+'Pricing MF 181017'!A12</f>
        <v>43404</v>
      </c>
      <c r="B12" s="60"/>
      <c r="C12" s="69">
        <f>'Commodity Tons MF 181017 '!C12*'Pricing MF 181017'!C12</f>
        <v>36.361908000000007</v>
      </c>
      <c r="D12" s="69">
        <f>'Commodity Tons MF 181017 '!D12*'Pricing MF 181017'!D12</f>
        <v>-15.561511680000004</v>
      </c>
      <c r="E12" s="69">
        <f>'Commodity Tons MF 181017 '!E12*'Pricing MF 181017'!E12</f>
        <v>0</v>
      </c>
      <c r="F12" s="69">
        <f>'Commodity Tons MF 181017 '!F12*'Pricing MF 181017'!F12</f>
        <v>6.8110416000000011</v>
      </c>
      <c r="G12" s="69">
        <f>'Commodity Tons MF 181017 '!G12*'Pricing MF 181017'!G12</f>
        <v>0</v>
      </c>
      <c r="H12" s="69">
        <f>'Commodity Tons MF 181017 '!H12*'Pricing MF 181017'!H12</f>
        <v>70.318702079999994</v>
      </c>
      <c r="I12" s="69">
        <f>'Commodity Tons MF 181017 '!I12*'Pricing MF 181017'!I12</f>
        <v>8.9210193600000025</v>
      </c>
      <c r="J12" s="69">
        <f>'Commodity Tons MF 181017 '!J12*'Pricing MF 181017'!J12</f>
        <v>8.9210193600000025</v>
      </c>
      <c r="K12" s="69">
        <f>'Commodity Tons MF 181017 '!K12*'Pricing MF 181017'!K12</f>
        <v>67.443425280000014</v>
      </c>
      <c r="L12" s="69">
        <f>'Commodity Tons MF 181017 '!L12*'Pricing MF 181017'!L12</f>
        <v>-42.140667360000094</v>
      </c>
      <c r="M12" s="169">
        <f t="shared" si="0"/>
        <v>141.07493663999992</v>
      </c>
      <c r="N12" s="65"/>
      <c r="O12" s="139">
        <f t="shared" si="1"/>
        <v>70.537468319999959</v>
      </c>
      <c r="P12" s="362">
        <v>0.5</v>
      </c>
      <c r="Q12" s="375"/>
      <c r="R12" s="68"/>
    </row>
    <row r="13" spans="1:18" x14ac:dyDescent="0.2">
      <c r="A13" s="59">
        <f>+'Pricing MF 181017'!A13</f>
        <v>43434</v>
      </c>
      <c r="B13" s="60"/>
      <c r="C13" s="69">
        <f>'Commodity Tons MF 181017 '!C13*'Pricing MF 181017'!C13</f>
        <v>0</v>
      </c>
      <c r="D13" s="69">
        <f>'Commodity Tons MF 181017 '!D13*'Pricing MF 181017'!D13</f>
        <v>0</v>
      </c>
      <c r="E13" s="69">
        <f>'Commodity Tons MF 181017 '!E13*'Pricing MF 181017'!E13</f>
        <v>0</v>
      </c>
      <c r="F13" s="69">
        <f>'Commodity Tons MF 181017 '!F13*'Pricing MF 181017'!F13</f>
        <v>0</v>
      </c>
      <c r="G13" s="69">
        <f>'Commodity Tons MF 181017 '!G13*'Pricing MF 181017'!G13</f>
        <v>0</v>
      </c>
      <c r="H13" s="69">
        <f>'Commodity Tons MF 181017 '!H13*'Pricing MF 181017'!H13</f>
        <v>0</v>
      </c>
      <c r="I13" s="69">
        <f>'Commodity Tons MF 181017 '!I13*'Pricing MF 181017'!I13</f>
        <v>0</v>
      </c>
      <c r="J13" s="69">
        <f>'Commodity Tons MF 181017 '!J13*'Pricing MF 181017'!J13</f>
        <v>0</v>
      </c>
      <c r="K13" s="69">
        <f>'Commodity Tons MF 181017 '!K13*'Pricing MF 181017'!K13</f>
        <v>0</v>
      </c>
      <c r="L13" s="69">
        <f>'Commodity Tons MF 181017 '!L13*'Pricing MF 181017'!L13</f>
        <v>0</v>
      </c>
      <c r="M13" s="169">
        <f t="shared" si="0"/>
        <v>0</v>
      </c>
      <c r="N13" s="65"/>
      <c r="O13" s="139">
        <f t="shared" si="1"/>
        <v>0</v>
      </c>
      <c r="P13" s="362">
        <v>0.5</v>
      </c>
      <c r="Q13" s="375"/>
      <c r="R13" s="68"/>
    </row>
    <row r="14" spans="1:18" x14ac:dyDescent="0.2">
      <c r="A14" s="59">
        <f>+'Pricing MF 181017'!A14</f>
        <v>43465</v>
      </c>
      <c r="B14" s="60"/>
      <c r="C14" s="69">
        <f>'Commodity Tons MF 181017 '!C14*'Pricing MF 181017'!C14</f>
        <v>0</v>
      </c>
      <c r="D14" s="69">
        <f>'Commodity Tons MF 181017 '!D14*'Pricing MF 181017'!D14</f>
        <v>0</v>
      </c>
      <c r="E14" s="69">
        <f>'Commodity Tons MF 181017 '!E14*'Pricing MF 181017'!E14</f>
        <v>0</v>
      </c>
      <c r="F14" s="69">
        <f>'Commodity Tons MF 181017 '!F14*'Pricing MF 181017'!F14</f>
        <v>0</v>
      </c>
      <c r="G14" s="69">
        <f>'Commodity Tons MF 181017 '!G14*'Pricing MF 181017'!G14</f>
        <v>0</v>
      </c>
      <c r="H14" s="69">
        <f>'Commodity Tons MF 181017 '!H14*'Pricing MF 181017'!H14</f>
        <v>0</v>
      </c>
      <c r="I14" s="69">
        <f>'Commodity Tons MF 181017 '!I14*'Pricing MF 181017'!I14</f>
        <v>0</v>
      </c>
      <c r="J14" s="69">
        <f>'Commodity Tons MF 181017 '!J14*'Pricing MF 181017'!J14</f>
        <v>0</v>
      </c>
      <c r="K14" s="69">
        <f>'Commodity Tons MF 181017 '!K14*'Pricing MF 181017'!K14</f>
        <v>0</v>
      </c>
      <c r="L14" s="69">
        <f>'Commodity Tons MF 181017 '!L14*'Pricing MF 181017'!L14</f>
        <v>0</v>
      </c>
      <c r="M14" s="169">
        <f t="shared" si="0"/>
        <v>0</v>
      </c>
      <c r="N14" s="65"/>
      <c r="O14" s="139">
        <f t="shared" si="1"/>
        <v>0</v>
      </c>
      <c r="P14" s="362">
        <v>0.5</v>
      </c>
      <c r="Q14" s="375"/>
      <c r="R14" s="68"/>
    </row>
    <row r="15" spans="1:18" x14ac:dyDescent="0.2">
      <c r="A15" s="59">
        <f>+'Pricing MF 181017'!A15</f>
        <v>43496</v>
      </c>
      <c r="B15" s="60"/>
      <c r="C15" s="69">
        <f>'Commodity Tons MF 181017 '!C15*'Pricing MF 181017'!C15</f>
        <v>0</v>
      </c>
      <c r="D15" s="69">
        <f>'Commodity Tons MF 181017 '!D15*'Pricing MF 181017'!D15</f>
        <v>0</v>
      </c>
      <c r="E15" s="69">
        <f>'Commodity Tons MF 181017 '!E15*'Pricing MF 181017'!E15</f>
        <v>0</v>
      </c>
      <c r="F15" s="69">
        <f>'Commodity Tons MF 181017 '!F15*'Pricing MF 181017'!F15</f>
        <v>0</v>
      </c>
      <c r="G15" s="69">
        <f>'Commodity Tons MF 181017 '!G15*'Pricing MF 181017'!G15</f>
        <v>0</v>
      </c>
      <c r="H15" s="69">
        <f>'Commodity Tons MF 181017 '!H15*'Pricing MF 181017'!H15</f>
        <v>0</v>
      </c>
      <c r="I15" s="69">
        <f>'Commodity Tons MF 181017 '!I15*'Pricing MF 181017'!I15</f>
        <v>0</v>
      </c>
      <c r="J15" s="69">
        <f>'Commodity Tons MF 181017 '!J15*'Pricing MF 181017'!J15</f>
        <v>0</v>
      </c>
      <c r="K15" s="69">
        <f>'Commodity Tons MF 181017 '!K15*'Pricing MF 181017'!K15</f>
        <v>0</v>
      </c>
      <c r="L15" s="69">
        <f>'Commodity Tons MF 181017 '!L15*'Pricing MF 181017'!L15</f>
        <v>0</v>
      </c>
      <c r="M15" s="169">
        <f t="shared" si="0"/>
        <v>0</v>
      </c>
      <c r="N15" s="65"/>
      <c r="O15" s="139">
        <f t="shared" si="1"/>
        <v>0</v>
      </c>
      <c r="P15" s="362">
        <v>0.5</v>
      </c>
      <c r="Q15" s="375"/>
      <c r="R15" s="68"/>
    </row>
    <row r="16" spans="1:18" x14ac:dyDescent="0.2">
      <c r="A16" s="59">
        <f>+'Pricing MF 181017'!A16</f>
        <v>43524</v>
      </c>
      <c r="B16" s="60"/>
      <c r="C16" s="69">
        <f>'Commodity Tons MF 181017 '!C16*'Pricing MF 181017'!C16</f>
        <v>0</v>
      </c>
      <c r="D16" s="69">
        <f>'Commodity Tons MF 181017 '!D16*'Pricing MF 181017'!D16</f>
        <v>0</v>
      </c>
      <c r="E16" s="69">
        <f>'Commodity Tons MF 181017 '!E16*'Pricing MF 181017'!E16</f>
        <v>0</v>
      </c>
      <c r="F16" s="69">
        <f>'Commodity Tons MF 181017 '!F16*'Pricing MF 181017'!F16</f>
        <v>0</v>
      </c>
      <c r="G16" s="69">
        <f>'Commodity Tons MF 181017 '!G16*'Pricing MF 181017'!G16</f>
        <v>0</v>
      </c>
      <c r="H16" s="69">
        <f>'Commodity Tons MF 181017 '!H16*'Pricing MF 181017'!H16</f>
        <v>0</v>
      </c>
      <c r="I16" s="69">
        <f>'Commodity Tons MF 181017 '!I16*'Pricing MF 181017'!I16</f>
        <v>0</v>
      </c>
      <c r="J16" s="69">
        <f>'Commodity Tons MF 181017 '!J16*'Pricing MF 181017'!J16</f>
        <v>0</v>
      </c>
      <c r="K16" s="69">
        <f>'Commodity Tons MF 181017 '!K16*'Pricing MF 181017'!K16</f>
        <v>0</v>
      </c>
      <c r="L16" s="69">
        <f>'Commodity Tons MF 181017 '!L16*'Pricing MF 181017'!L16</f>
        <v>0</v>
      </c>
      <c r="M16" s="169">
        <f t="shared" si="0"/>
        <v>0</v>
      </c>
      <c r="N16" s="65"/>
      <c r="O16" s="139">
        <f t="shared" si="1"/>
        <v>0</v>
      </c>
      <c r="P16" s="362">
        <v>0.5</v>
      </c>
      <c r="Q16" s="375"/>
      <c r="R16" s="68"/>
    </row>
    <row r="17" spans="1:18" x14ac:dyDescent="0.2">
      <c r="A17" s="59">
        <f>+'Pricing MF 181017'!A17</f>
        <v>43555</v>
      </c>
      <c r="B17" s="60"/>
      <c r="C17" s="69">
        <f>'Commodity Tons MF 181017 '!C17*'Pricing MF 181017'!C17</f>
        <v>0</v>
      </c>
      <c r="D17" s="69">
        <f>'Commodity Tons MF 181017 '!D17*'Pricing MF 181017'!D17</f>
        <v>0</v>
      </c>
      <c r="E17" s="69">
        <f>'Commodity Tons MF 181017 '!E17*'Pricing MF 181017'!E17</f>
        <v>0</v>
      </c>
      <c r="F17" s="69">
        <f>'Commodity Tons MF 181017 '!F17*'Pricing MF 181017'!F17</f>
        <v>0</v>
      </c>
      <c r="G17" s="69">
        <f>'Commodity Tons MF 181017 '!G17*'Pricing MF 181017'!G17</f>
        <v>0</v>
      </c>
      <c r="H17" s="69">
        <f>'Commodity Tons MF 181017 '!H17*'Pricing MF 181017'!H17</f>
        <v>0</v>
      </c>
      <c r="I17" s="69">
        <f>'Commodity Tons MF 181017 '!I17*'Pricing MF 181017'!I17</f>
        <v>0</v>
      </c>
      <c r="J17" s="69">
        <f>'Commodity Tons MF 181017 '!J17*'Pricing MF 181017'!J17</f>
        <v>0</v>
      </c>
      <c r="K17" s="69">
        <f>'Commodity Tons MF 181017 '!K17*'Pricing MF 181017'!K17</f>
        <v>0</v>
      </c>
      <c r="L17" s="69">
        <f>'Commodity Tons MF 181017 '!L17*'Pricing MF 181017'!L17</f>
        <v>0</v>
      </c>
      <c r="M17" s="169">
        <f t="shared" si="0"/>
        <v>0</v>
      </c>
      <c r="N17" s="65"/>
      <c r="O17" s="139">
        <f t="shared" si="1"/>
        <v>0</v>
      </c>
      <c r="P17" s="362">
        <v>0.5</v>
      </c>
      <c r="Q17" s="375"/>
      <c r="R17" s="68"/>
    </row>
    <row r="18" spans="1:18" x14ac:dyDescent="0.2">
      <c r="A18" s="59">
        <f>+'Pricing MF 181017'!A18</f>
        <v>43585</v>
      </c>
      <c r="B18" s="60"/>
      <c r="C18" s="69">
        <f>'Commodity Tons MF 181017 '!C18*'Pricing MF 181017'!C18</f>
        <v>0</v>
      </c>
      <c r="D18" s="69">
        <f>'Commodity Tons MF 181017 '!D18*'Pricing MF 181017'!D18</f>
        <v>0</v>
      </c>
      <c r="E18" s="69">
        <f>'Commodity Tons MF 181017 '!E18*'Pricing MF 181017'!E18</f>
        <v>0</v>
      </c>
      <c r="F18" s="69">
        <f>'Commodity Tons MF 181017 '!F18*'Pricing MF 181017'!F18</f>
        <v>0</v>
      </c>
      <c r="G18" s="69">
        <f>'Commodity Tons MF 181017 '!G18*'Pricing MF 181017'!G18</f>
        <v>0</v>
      </c>
      <c r="H18" s="69">
        <f>'Commodity Tons MF 181017 '!H18*'Pricing MF 181017'!H18</f>
        <v>0</v>
      </c>
      <c r="I18" s="69">
        <f>'Commodity Tons MF 181017 '!I18*'Pricing MF 181017'!I18</f>
        <v>0</v>
      </c>
      <c r="J18" s="69">
        <f>'Commodity Tons MF 181017 '!J18*'Pricing MF 181017'!J18</f>
        <v>0</v>
      </c>
      <c r="K18" s="69">
        <f>'Commodity Tons MF 181017 '!K18*'Pricing MF 181017'!K18</f>
        <v>0</v>
      </c>
      <c r="L18" s="69">
        <f>'Commodity Tons MF 181017 '!L18*'Pricing MF 181017'!L18</f>
        <v>0</v>
      </c>
      <c r="M18" s="169">
        <f t="shared" si="0"/>
        <v>0</v>
      </c>
      <c r="N18" s="65"/>
      <c r="O18" s="139">
        <f t="shared" si="1"/>
        <v>0</v>
      </c>
      <c r="P18" s="362">
        <v>0.5</v>
      </c>
      <c r="Q18" s="375"/>
      <c r="R18" s="68"/>
    </row>
    <row r="19" spans="1:18" ht="6.75" customHeight="1" x14ac:dyDescent="0.2">
      <c r="A19" s="60"/>
      <c r="B19" s="60"/>
      <c r="C19" s="69"/>
      <c r="D19" s="69"/>
      <c r="E19" s="69"/>
      <c r="F19" s="69"/>
      <c r="G19" s="69"/>
      <c r="H19" s="69"/>
      <c r="I19" s="69"/>
      <c r="J19" s="69"/>
      <c r="K19" s="69"/>
      <c r="L19" s="69"/>
      <c r="M19" s="169"/>
      <c r="N19"/>
      <c r="O19" s="65"/>
    </row>
    <row r="20" spans="1:18" x14ac:dyDescent="0.2">
      <c r="A20" s="63" t="s">
        <v>33</v>
      </c>
      <c r="B20" s="60"/>
      <c r="C20" s="76">
        <f t="shared" ref="C20:L20" si="2">SUM(C7:C19)</f>
        <v>307.37955675000001</v>
      </c>
      <c r="D20" s="76">
        <f t="shared" si="2"/>
        <v>-102.49163184000003</v>
      </c>
      <c r="E20" s="76">
        <f t="shared" si="2"/>
        <v>0</v>
      </c>
      <c r="F20" s="76">
        <f t="shared" si="2"/>
        <v>53.660900699999999</v>
      </c>
      <c r="G20" s="76">
        <f t="shared" si="2"/>
        <v>0</v>
      </c>
      <c r="H20" s="76">
        <f t="shared" si="2"/>
        <v>115.95668991999997</v>
      </c>
      <c r="I20" s="76">
        <f t="shared" si="2"/>
        <v>89.63118498</v>
      </c>
      <c r="J20" s="76">
        <f t="shared" si="2"/>
        <v>89.63118498</v>
      </c>
      <c r="K20" s="76">
        <f t="shared" si="2"/>
        <v>415.33884809999995</v>
      </c>
      <c r="L20" s="76">
        <f t="shared" si="2"/>
        <v>-312.70290666000062</v>
      </c>
      <c r="M20" s="170">
        <f>SUM(C20:L20)</f>
        <v>656.40382692999935</v>
      </c>
      <c r="N20" s="61"/>
      <c r="O20" s="75">
        <f>SUM(O7:O19)</f>
        <v>328.20191346499968</v>
      </c>
      <c r="P20" s="113">
        <f>+O20/M20</f>
        <v>0.5</v>
      </c>
      <c r="Q20" s="66"/>
    </row>
    <row r="21" spans="1:18" x14ac:dyDescent="0.2">
      <c r="A21" s="60"/>
      <c r="B21" s="60"/>
      <c r="C21" s="65"/>
      <c r="D21" s="65"/>
      <c r="E21" s="65"/>
      <c r="F21" s="65"/>
      <c r="G21" s="65"/>
      <c r="H21" s="65"/>
      <c r="I21" s="65"/>
      <c r="J21" s="65"/>
      <c r="K21" s="65"/>
      <c r="L21" s="65"/>
      <c r="M21" s="169"/>
      <c r="N21"/>
      <c r="O21" s="66"/>
    </row>
    <row r="22" spans="1:18" x14ac:dyDescent="0.2">
      <c r="A22" s="60"/>
      <c r="B22" s="60"/>
      <c r="C22" s="60"/>
      <c r="D22" s="60"/>
      <c r="E22" s="60"/>
      <c r="F22" s="60"/>
      <c r="G22" s="60"/>
      <c r="H22" s="60"/>
      <c r="I22" s="60"/>
      <c r="J22" s="60"/>
      <c r="K22" s="60"/>
      <c r="L22" s="60"/>
      <c r="M22" s="171"/>
      <c r="N22"/>
      <c r="O22" s="66"/>
    </row>
    <row r="23" spans="1:18" x14ac:dyDescent="0.2">
      <c r="A23" s="60"/>
      <c r="B23" s="60"/>
      <c r="C23" s="60"/>
      <c r="D23" s="60"/>
      <c r="E23" s="60"/>
      <c r="F23" s="60"/>
      <c r="G23" s="60"/>
      <c r="H23" s="60"/>
      <c r="I23" s="60"/>
      <c r="J23" s="60"/>
      <c r="K23" s="60"/>
    </row>
    <row r="24" spans="1:18" x14ac:dyDescent="0.2">
      <c r="A24" s="60"/>
      <c r="B24" s="60"/>
      <c r="C24" s="60"/>
      <c r="D24" s="60"/>
      <c r="E24" s="60"/>
      <c r="F24" s="60"/>
      <c r="G24" s="60"/>
      <c r="H24" s="60"/>
      <c r="I24" s="60"/>
      <c r="J24" s="60"/>
      <c r="K24" s="60"/>
    </row>
    <row r="25" spans="1:18" x14ac:dyDescent="0.2">
      <c r="A25" s="60"/>
      <c r="B25" s="60"/>
      <c r="C25" s="60"/>
      <c r="D25" s="60"/>
      <c r="E25" s="60"/>
      <c r="F25" s="60"/>
      <c r="G25" s="60"/>
      <c r="H25" s="60"/>
      <c r="I25" s="60"/>
      <c r="J25" s="60"/>
      <c r="K25" s="60"/>
    </row>
    <row r="26" spans="1:18" x14ac:dyDescent="0.2">
      <c r="A26" s="60"/>
      <c r="B26" s="60"/>
      <c r="C26" s="60"/>
      <c r="D26" s="60"/>
      <c r="E26" s="60"/>
      <c r="F26" s="60"/>
      <c r="G26" s="60"/>
      <c r="H26" s="60"/>
      <c r="I26" s="60"/>
      <c r="J26" s="60"/>
      <c r="K26" s="60"/>
    </row>
    <row r="27" spans="1:18" x14ac:dyDescent="0.2">
      <c r="A27" s="60"/>
      <c r="B27" s="60"/>
      <c r="C27" s="60"/>
      <c r="D27" s="60"/>
      <c r="E27" s="60"/>
      <c r="F27" s="60"/>
      <c r="G27" s="60"/>
      <c r="H27" s="60"/>
      <c r="I27" s="60"/>
      <c r="J27" s="60"/>
      <c r="K27" s="60"/>
    </row>
    <row r="28" spans="1:18" x14ac:dyDescent="0.2">
      <c r="A28" s="60"/>
      <c r="B28" s="60"/>
      <c r="C28" s="60"/>
      <c r="D28" s="60"/>
      <c r="E28" s="60"/>
      <c r="F28" s="60"/>
      <c r="G28" s="60"/>
      <c r="H28" s="60"/>
      <c r="I28" s="60"/>
      <c r="J28" s="60"/>
      <c r="K28" s="60"/>
    </row>
    <row r="29" spans="1:18" x14ac:dyDescent="0.2">
      <c r="A29" s="60"/>
      <c r="B29" s="60"/>
      <c r="C29" s="60"/>
      <c r="D29" s="60"/>
      <c r="E29" s="60"/>
      <c r="F29" s="60"/>
      <c r="G29" s="60"/>
      <c r="H29" s="60"/>
      <c r="I29" s="60"/>
      <c r="J29" s="60"/>
      <c r="K29" s="60"/>
    </row>
    <row r="30" spans="1:18" x14ac:dyDescent="0.2">
      <c r="A30" s="60"/>
      <c r="B30" s="60"/>
      <c r="C30" s="60"/>
      <c r="D30" s="60"/>
      <c r="E30" s="60"/>
      <c r="F30" s="60"/>
      <c r="G30" s="60"/>
      <c r="H30" s="60"/>
      <c r="I30" s="60"/>
      <c r="J30" s="60"/>
      <c r="K30" s="60"/>
    </row>
    <row r="31" spans="1:18" x14ac:dyDescent="0.2">
      <c r="A31" s="60"/>
      <c r="B31" s="60"/>
      <c r="C31" s="60"/>
      <c r="D31" s="60"/>
      <c r="E31" s="60"/>
      <c r="F31" s="60"/>
      <c r="G31" s="60"/>
      <c r="H31" s="60"/>
      <c r="I31" s="60"/>
      <c r="J31" s="60"/>
      <c r="K31" s="60"/>
    </row>
    <row r="32" spans="1:18" x14ac:dyDescent="0.2">
      <c r="A32" s="60"/>
      <c r="B32" s="60"/>
      <c r="C32" s="60"/>
      <c r="D32" s="60"/>
      <c r="E32" s="60"/>
      <c r="F32" s="60"/>
      <c r="G32" s="60"/>
      <c r="H32" s="60"/>
      <c r="I32" s="60"/>
      <c r="J32" s="60"/>
      <c r="K32" s="60"/>
    </row>
    <row r="33" spans="1:11" x14ac:dyDescent="0.2">
      <c r="A33" s="60"/>
      <c r="B33" s="60"/>
      <c r="C33" s="60"/>
      <c r="D33" s="60"/>
      <c r="E33" s="60"/>
      <c r="F33" s="60"/>
      <c r="G33" s="60"/>
      <c r="H33" s="60"/>
      <c r="I33" s="60"/>
      <c r="J33" s="60"/>
      <c r="K33" s="60"/>
    </row>
    <row r="34" spans="1:11" x14ac:dyDescent="0.2">
      <c r="A34" s="60"/>
      <c r="B34" s="60"/>
      <c r="C34" s="60"/>
      <c r="D34" s="60"/>
      <c r="E34" s="60"/>
      <c r="F34" s="60"/>
      <c r="G34" s="60"/>
      <c r="H34" s="60"/>
      <c r="I34" s="60"/>
      <c r="J34" s="60"/>
      <c r="K34" s="60"/>
    </row>
    <row r="35" spans="1:11" x14ac:dyDescent="0.2">
      <c r="A35" s="60"/>
      <c r="B35" s="60"/>
      <c r="C35" s="60"/>
      <c r="D35" s="60"/>
      <c r="E35" s="60"/>
      <c r="F35" s="60"/>
      <c r="G35" s="60"/>
      <c r="H35" s="60"/>
      <c r="I35" s="60"/>
      <c r="J35" s="60"/>
      <c r="K35" s="60"/>
    </row>
    <row r="36" spans="1:11" x14ac:dyDescent="0.2">
      <c r="A36" s="60"/>
      <c r="B36" s="60"/>
      <c r="C36" s="60"/>
      <c r="D36" s="60"/>
      <c r="E36" s="60"/>
      <c r="F36" s="60"/>
      <c r="G36" s="60"/>
      <c r="H36" s="60"/>
      <c r="I36" s="60"/>
      <c r="J36" s="60"/>
      <c r="K36" s="60"/>
    </row>
    <row r="37" spans="1:11" x14ac:dyDescent="0.2">
      <c r="A37" s="60"/>
      <c r="B37" s="60"/>
      <c r="C37" s="60"/>
      <c r="D37" s="60"/>
      <c r="E37" s="60"/>
      <c r="F37" s="60"/>
      <c r="G37" s="60"/>
      <c r="H37" s="60"/>
      <c r="I37" s="60"/>
      <c r="J37" s="60"/>
      <c r="K37" s="60"/>
    </row>
    <row r="38" spans="1:11" x14ac:dyDescent="0.2">
      <c r="A38" s="60"/>
      <c r="B38" s="60"/>
      <c r="C38" s="60"/>
      <c r="D38" s="60"/>
      <c r="E38" s="60"/>
      <c r="F38" s="60"/>
      <c r="G38" s="60"/>
      <c r="H38" s="60"/>
      <c r="I38" s="60"/>
      <c r="J38" s="60"/>
      <c r="K38" s="60"/>
    </row>
    <row r="39" spans="1:11" x14ac:dyDescent="0.2">
      <c r="A39" s="60"/>
      <c r="B39" s="60"/>
      <c r="C39" s="60"/>
      <c r="D39" s="60"/>
      <c r="E39" s="60"/>
      <c r="F39" s="60"/>
      <c r="G39" s="60"/>
      <c r="H39" s="60"/>
      <c r="I39" s="60"/>
      <c r="J39" s="60"/>
      <c r="K39" s="60"/>
    </row>
    <row r="40" spans="1:11" x14ac:dyDescent="0.2">
      <c r="A40" s="60"/>
      <c r="B40" s="60"/>
      <c r="C40" s="60"/>
      <c r="D40" s="60"/>
      <c r="E40" s="60"/>
      <c r="F40" s="60"/>
      <c r="G40" s="60"/>
      <c r="H40" s="60"/>
      <c r="I40" s="60"/>
      <c r="J40" s="60"/>
      <c r="K40" s="60"/>
    </row>
    <row r="41" spans="1:11" x14ac:dyDescent="0.2">
      <c r="A41" s="60"/>
      <c r="B41" s="60"/>
      <c r="C41" s="60"/>
      <c r="D41" s="60"/>
      <c r="E41" s="60"/>
      <c r="F41" s="60"/>
      <c r="G41" s="60"/>
      <c r="H41" s="60"/>
      <c r="I41" s="60"/>
      <c r="J41" s="60"/>
      <c r="K41" s="60"/>
    </row>
    <row r="42" spans="1:11" x14ac:dyDescent="0.2">
      <c r="A42" s="60"/>
      <c r="B42" s="60"/>
      <c r="C42" s="60"/>
      <c r="D42" s="60"/>
      <c r="E42" s="60"/>
      <c r="F42" s="60"/>
      <c r="G42" s="60"/>
      <c r="H42" s="60"/>
      <c r="I42" s="60"/>
      <c r="J42" s="60"/>
      <c r="K42" s="60"/>
    </row>
    <row r="43" spans="1:11" x14ac:dyDescent="0.2">
      <c r="A43" s="60"/>
      <c r="B43" s="60"/>
      <c r="C43" s="60"/>
      <c r="D43" s="60"/>
      <c r="E43" s="60"/>
      <c r="F43" s="60"/>
      <c r="G43" s="60"/>
      <c r="H43" s="60"/>
      <c r="I43" s="60"/>
      <c r="J43" s="60"/>
      <c r="K43" s="60"/>
    </row>
    <row r="44" spans="1:11" x14ac:dyDescent="0.2">
      <c r="A44" s="60"/>
      <c r="B44" s="60"/>
      <c r="C44" s="60"/>
      <c r="D44" s="60"/>
      <c r="E44" s="60"/>
      <c r="F44" s="60"/>
      <c r="G44" s="60"/>
      <c r="H44" s="60"/>
      <c r="I44" s="60"/>
      <c r="J44" s="60"/>
      <c r="K44" s="60"/>
    </row>
    <row r="45" spans="1:11" x14ac:dyDescent="0.2">
      <c r="A45" s="60"/>
      <c r="B45" s="60"/>
      <c r="C45" s="60"/>
      <c r="D45" s="60"/>
      <c r="E45" s="60"/>
      <c r="F45" s="60"/>
      <c r="G45" s="60"/>
      <c r="H45" s="60"/>
      <c r="I45" s="60"/>
      <c r="J45" s="60"/>
      <c r="K45" s="60"/>
    </row>
    <row r="46" spans="1:11" x14ac:dyDescent="0.2">
      <c r="A46" s="60"/>
      <c r="B46" s="60"/>
      <c r="C46" s="60"/>
      <c r="D46" s="60"/>
      <c r="E46" s="60"/>
      <c r="F46" s="60"/>
      <c r="G46" s="60"/>
      <c r="H46" s="60"/>
      <c r="I46" s="60"/>
      <c r="J46" s="60"/>
      <c r="K46" s="60"/>
    </row>
    <row r="47" spans="1:11" x14ac:dyDescent="0.2">
      <c r="A47" s="60"/>
      <c r="B47" s="60"/>
      <c r="C47" s="60"/>
      <c r="D47" s="60"/>
      <c r="E47" s="60"/>
      <c r="F47" s="60"/>
      <c r="G47" s="60"/>
      <c r="H47" s="60"/>
      <c r="I47" s="60"/>
      <c r="J47" s="60"/>
      <c r="K47" s="60"/>
    </row>
    <row r="48" spans="1:11" x14ac:dyDescent="0.2">
      <c r="A48" s="60"/>
      <c r="B48" s="60"/>
      <c r="C48" s="60"/>
      <c r="D48" s="60"/>
      <c r="E48" s="60"/>
      <c r="F48" s="60"/>
      <c r="G48" s="60"/>
      <c r="H48" s="60"/>
      <c r="I48" s="60"/>
      <c r="J48" s="60"/>
      <c r="K48" s="60"/>
    </row>
    <row r="49" spans="1:11" x14ac:dyDescent="0.2">
      <c r="A49" s="60"/>
      <c r="B49" s="60"/>
      <c r="C49" s="60"/>
      <c r="D49" s="60"/>
      <c r="E49" s="60"/>
      <c r="F49" s="60"/>
      <c r="G49" s="60"/>
      <c r="H49" s="60"/>
      <c r="I49" s="60"/>
      <c r="J49" s="60"/>
      <c r="K49" s="60"/>
    </row>
    <row r="50" spans="1:11" x14ac:dyDescent="0.2">
      <c r="A50" s="60"/>
      <c r="B50" s="60"/>
      <c r="C50" s="60"/>
      <c r="D50" s="60"/>
      <c r="E50" s="60"/>
      <c r="F50" s="60"/>
      <c r="G50" s="60"/>
      <c r="H50" s="60"/>
      <c r="I50" s="60"/>
      <c r="J50" s="60"/>
      <c r="K50" s="60"/>
    </row>
    <row r="51" spans="1:11" x14ac:dyDescent="0.2">
      <c r="A51" s="60"/>
      <c r="B51" s="60"/>
      <c r="C51" s="60"/>
      <c r="D51" s="60"/>
      <c r="E51" s="60"/>
      <c r="F51" s="60"/>
      <c r="G51" s="60"/>
      <c r="H51" s="60"/>
      <c r="I51" s="60"/>
      <c r="J51" s="60"/>
      <c r="K51" s="60"/>
    </row>
    <row r="52" spans="1:11" x14ac:dyDescent="0.2">
      <c r="A52" s="60"/>
      <c r="B52" s="60"/>
      <c r="C52" s="60"/>
      <c r="D52" s="60"/>
      <c r="E52" s="60"/>
      <c r="F52" s="60"/>
      <c r="G52" s="60"/>
      <c r="H52" s="60"/>
      <c r="I52" s="60"/>
      <c r="J52" s="60"/>
      <c r="K52" s="60"/>
    </row>
    <row r="53" spans="1:11" x14ac:dyDescent="0.2">
      <c r="A53" s="60"/>
      <c r="B53" s="60"/>
      <c r="C53" s="60"/>
      <c r="D53" s="60"/>
      <c r="E53" s="60"/>
      <c r="F53" s="60"/>
      <c r="G53" s="60"/>
      <c r="H53" s="60"/>
      <c r="I53" s="60"/>
      <c r="J53" s="60"/>
      <c r="K53" s="60"/>
    </row>
    <row r="54" spans="1:11" x14ac:dyDescent="0.2">
      <c r="A54" s="60"/>
      <c r="B54" s="60"/>
      <c r="C54" s="60"/>
      <c r="D54" s="60"/>
      <c r="E54" s="60"/>
      <c r="F54" s="60"/>
      <c r="G54" s="60"/>
      <c r="H54" s="60"/>
      <c r="I54" s="60"/>
      <c r="J54" s="60"/>
      <c r="K54" s="60"/>
    </row>
    <row r="55" spans="1:11" x14ac:dyDescent="0.2">
      <c r="A55" s="60"/>
      <c r="B55" s="60"/>
      <c r="C55" s="60"/>
      <c r="D55" s="60"/>
      <c r="E55" s="60"/>
      <c r="F55" s="60"/>
      <c r="G55" s="60"/>
      <c r="H55" s="60"/>
      <c r="I55" s="60"/>
      <c r="J55" s="60"/>
      <c r="K55" s="60"/>
    </row>
    <row r="56" spans="1:11" x14ac:dyDescent="0.2">
      <c r="A56" s="60"/>
      <c r="B56" s="60"/>
      <c r="C56" s="60"/>
      <c r="D56" s="60"/>
      <c r="E56" s="60"/>
      <c r="F56" s="60"/>
      <c r="G56" s="60"/>
      <c r="H56" s="60"/>
      <c r="I56" s="60"/>
      <c r="J56" s="60"/>
      <c r="K56" s="60"/>
    </row>
    <row r="57" spans="1:11" x14ac:dyDescent="0.2">
      <c r="A57" s="60"/>
      <c r="B57" s="60"/>
      <c r="C57" s="60"/>
      <c r="D57" s="60"/>
      <c r="E57" s="60"/>
      <c r="F57" s="60"/>
      <c r="G57" s="60"/>
      <c r="H57" s="60"/>
      <c r="I57" s="60"/>
      <c r="J57" s="60"/>
      <c r="K57" s="60"/>
    </row>
    <row r="58" spans="1:11" x14ac:dyDescent="0.2">
      <c r="A58" s="60"/>
      <c r="B58" s="60"/>
      <c r="C58" s="60"/>
      <c r="D58" s="60"/>
      <c r="E58" s="60"/>
      <c r="F58" s="60"/>
      <c r="G58" s="60"/>
      <c r="H58" s="60"/>
      <c r="I58" s="60"/>
      <c r="J58" s="60"/>
      <c r="K58" s="60"/>
    </row>
    <row r="59" spans="1:11" x14ac:dyDescent="0.2">
      <c r="A59" s="60"/>
      <c r="B59" s="60"/>
      <c r="C59" s="60"/>
      <c r="D59" s="60"/>
      <c r="E59" s="60"/>
      <c r="F59" s="60"/>
      <c r="G59" s="60"/>
      <c r="H59" s="60"/>
      <c r="I59" s="60"/>
      <c r="J59" s="60"/>
      <c r="K59" s="60"/>
    </row>
    <row r="60" spans="1:11" x14ac:dyDescent="0.2">
      <c r="A60" s="60"/>
      <c r="B60" s="60"/>
      <c r="C60" s="60"/>
      <c r="D60" s="60"/>
      <c r="E60" s="60"/>
      <c r="F60" s="60"/>
      <c r="G60" s="60"/>
      <c r="H60" s="60"/>
      <c r="I60" s="60"/>
      <c r="J60" s="60"/>
      <c r="K60" s="60"/>
    </row>
    <row r="61" spans="1:11" x14ac:dyDescent="0.2">
      <c r="A61" s="60"/>
      <c r="B61" s="60"/>
      <c r="C61" s="60"/>
      <c r="D61" s="60"/>
      <c r="E61" s="60"/>
      <c r="F61" s="60"/>
      <c r="G61" s="60"/>
      <c r="H61" s="60"/>
      <c r="I61" s="60"/>
      <c r="J61" s="60"/>
      <c r="K61" s="60"/>
    </row>
    <row r="62" spans="1:11" x14ac:dyDescent="0.2">
      <c r="A62" s="60"/>
      <c r="B62" s="60"/>
      <c r="C62" s="60"/>
      <c r="D62" s="60"/>
      <c r="E62" s="60"/>
      <c r="F62" s="60"/>
      <c r="G62" s="60"/>
      <c r="H62" s="60"/>
      <c r="I62" s="60"/>
      <c r="J62" s="60"/>
      <c r="K62" s="60"/>
    </row>
    <row r="63" spans="1:11" x14ac:dyDescent="0.2">
      <c r="A63" s="60"/>
      <c r="B63" s="60"/>
      <c r="C63" s="60"/>
      <c r="D63" s="60"/>
      <c r="E63" s="60"/>
      <c r="F63" s="60"/>
      <c r="G63" s="60"/>
      <c r="H63" s="60"/>
      <c r="I63" s="60"/>
      <c r="J63" s="60"/>
      <c r="K63" s="60"/>
    </row>
    <row r="64" spans="1:11" x14ac:dyDescent="0.2">
      <c r="A64" s="60"/>
      <c r="B64" s="60"/>
      <c r="C64" s="60"/>
      <c r="D64" s="60"/>
      <c r="E64" s="60"/>
      <c r="F64" s="60"/>
      <c r="G64" s="60"/>
      <c r="H64" s="60"/>
      <c r="I64" s="60"/>
      <c r="J64" s="60"/>
      <c r="K64" s="60"/>
    </row>
    <row r="65" spans="1:11" x14ac:dyDescent="0.2">
      <c r="A65" s="60"/>
      <c r="B65" s="60"/>
      <c r="C65" s="60"/>
      <c r="D65" s="60"/>
      <c r="E65" s="60"/>
      <c r="F65" s="60"/>
      <c r="G65" s="60"/>
      <c r="H65" s="60"/>
      <c r="I65" s="60"/>
      <c r="J65" s="60"/>
      <c r="K65" s="60"/>
    </row>
    <row r="66" spans="1:11" x14ac:dyDescent="0.2">
      <c r="A66" s="60"/>
      <c r="B66" s="60"/>
      <c r="C66" s="60"/>
      <c r="D66" s="60"/>
      <c r="E66" s="60"/>
      <c r="F66" s="60"/>
      <c r="G66" s="60"/>
      <c r="H66" s="60"/>
      <c r="I66" s="60"/>
      <c r="J66" s="60"/>
      <c r="K66" s="60"/>
    </row>
    <row r="67" spans="1:11" x14ac:dyDescent="0.2">
      <c r="A67" s="60"/>
      <c r="B67" s="60"/>
      <c r="C67" s="60"/>
      <c r="D67" s="60"/>
      <c r="E67" s="60"/>
      <c r="F67" s="60"/>
      <c r="G67" s="60"/>
      <c r="H67" s="60"/>
      <c r="I67" s="60"/>
      <c r="J67" s="60"/>
      <c r="K67" s="60"/>
    </row>
    <row r="68" spans="1:11" x14ac:dyDescent="0.2">
      <c r="A68" s="60"/>
      <c r="B68" s="60"/>
      <c r="C68" s="60"/>
      <c r="D68" s="60"/>
      <c r="E68" s="60"/>
      <c r="F68" s="60"/>
      <c r="G68" s="60"/>
      <c r="H68" s="60"/>
      <c r="I68" s="60"/>
      <c r="J68" s="60"/>
      <c r="K68" s="60"/>
    </row>
    <row r="69" spans="1:11" x14ac:dyDescent="0.2">
      <c r="A69" s="60"/>
      <c r="B69" s="60"/>
      <c r="C69" s="60"/>
      <c r="D69" s="60"/>
      <c r="E69" s="60"/>
      <c r="F69" s="60"/>
      <c r="G69" s="60"/>
      <c r="H69" s="60"/>
      <c r="I69" s="60"/>
      <c r="J69" s="60"/>
      <c r="K69" s="60"/>
    </row>
    <row r="70" spans="1:11" x14ac:dyDescent="0.2">
      <c r="A70" s="60"/>
      <c r="B70" s="60"/>
      <c r="C70" s="60"/>
      <c r="D70" s="60"/>
      <c r="E70" s="60"/>
      <c r="F70" s="60"/>
      <c r="G70" s="60"/>
      <c r="H70" s="60"/>
      <c r="I70" s="60"/>
      <c r="J70" s="60"/>
      <c r="K70" s="60"/>
    </row>
    <row r="71" spans="1:11" x14ac:dyDescent="0.2">
      <c r="A71" s="60"/>
      <c r="B71" s="60"/>
      <c r="C71" s="60"/>
      <c r="D71" s="60"/>
      <c r="E71" s="60"/>
      <c r="F71" s="60"/>
      <c r="G71" s="60"/>
      <c r="H71" s="60"/>
      <c r="I71" s="60"/>
      <c r="J71" s="60"/>
      <c r="K71" s="60"/>
    </row>
    <row r="72" spans="1:11" x14ac:dyDescent="0.2">
      <c r="A72" s="60"/>
      <c r="B72" s="60"/>
      <c r="C72" s="60"/>
      <c r="D72" s="60"/>
      <c r="E72" s="60"/>
      <c r="F72" s="60"/>
      <c r="G72" s="60"/>
      <c r="H72" s="60"/>
      <c r="I72" s="60"/>
      <c r="J72" s="60"/>
      <c r="K72" s="60"/>
    </row>
    <row r="73" spans="1:11" x14ac:dyDescent="0.2">
      <c r="A73" s="60"/>
      <c r="B73" s="60"/>
      <c r="C73" s="60"/>
      <c r="D73" s="60"/>
      <c r="E73" s="60"/>
      <c r="F73" s="60"/>
      <c r="G73" s="60"/>
      <c r="H73" s="60"/>
      <c r="I73" s="60"/>
      <c r="J73" s="60"/>
      <c r="K73" s="60"/>
    </row>
    <row r="74" spans="1:11" x14ac:dyDescent="0.2">
      <c r="A74" s="60"/>
      <c r="B74" s="60"/>
      <c r="C74" s="60"/>
      <c r="D74" s="60"/>
      <c r="E74" s="60"/>
      <c r="F74" s="60"/>
      <c r="G74" s="60"/>
      <c r="H74" s="60"/>
      <c r="I74" s="60"/>
      <c r="J74" s="60"/>
      <c r="K74" s="60"/>
    </row>
    <row r="75" spans="1:11" x14ac:dyDescent="0.2">
      <c r="A75" s="60"/>
      <c r="B75" s="60"/>
      <c r="C75" s="60"/>
      <c r="D75" s="60"/>
      <c r="E75" s="60"/>
      <c r="F75" s="60"/>
      <c r="G75" s="60"/>
      <c r="H75" s="60"/>
      <c r="I75" s="60"/>
      <c r="J75" s="60"/>
      <c r="K75" s="60"/>
    </row>
    <row r="76" spans="1:11" x14ac:dyDescent="0.2">
      <c r="A76" s="60"/>
      <c r="B76" s="60"/>
      <c r="C76" s="60"/>
      <c r="D76" s="60"/>
      <c r="E76" s="60"/>
      <c r="F76" s="60"/>
      <c r="G76" s="60"/>
      <c r="H76" s="60"/>
      <c r="I76" s="60"/>
      <c r="J76" s="60"/>
      <c r="K76" s="60"/>
    </row>
    <row r="77" spans="1:11" x14ac:dyDescent="0.2">
      <c r="A77" s="60"/>
      <c r="B77" s="60"/>
      <c r="C77" s="60"/>
      <c r="D77" s="60"/>
      <c r="E77" s="60"/>
      <c r="F77" s="60"/>
      <c r="G77" s="60"/>
      <c r="H77" s="60"/>
      <c r="I77" s="60"/>
      <c r="J77" s="60"/>
      <c r="K77" s="60"/>
    </row>
    <row r="78" spans="1:11" x14ac:dyDescent="0.2">
      <c r="A78" s="60"/>
      <c r="B78" s="60"/>
      <c r="C78" s="60"/>
      <c r="D78" s="60"/>
      <c r="E78" s="60"/>
      <c r="F78" s="60"/>
      <c r="G78" s="60"/>
      <c r="H78" s="60"/>
      <c r="I78" s="60"/>
      <c r="J78" s="60"/>
      <c r="K78" s="60"/>
    </row>
    <row r="79" spans="1:11" x14ac:dyDescent="0.2">
      <c r="A79" s="60"/>
      <c r="B79" s="60"/>
      <c r="C79" s="60"/>
      <c r="D79" s="60"/>
      <c r="E79" s="60"/>
      <c r="F79" s="60"/>
      <c r="G79" s="60"/>
      <c r="H79" s="60"/>
      <c r="I79" s="60"/>
      <c r="J79" s="60"/>
      <c r="K79" s="60"/>
    </row>
    <row r="80" spans="1:11" x14ac:dyDescent="0.2">
      <c r="A80" s="60"/>
      <c r="B80" s="60"/>
      <c r="C80" s="60"/>
      <c r="D80" s="60"/>
      <c r="E80" s="60"/>
      <c r="F80" s="60"/>
      <c r="G80" s="60"/>
      <c r="H80" s="60"/>
      <c r="I80" s="60"/>
      <c r="J80" s="60"/>
      <c r="K80" s="60"/>
    </row>
    <row r="81" spans="1:11" x14ac:dyDescent="0.2">
      <c r="A81" s="60"/>
      <c r="B81" s="60"/>
      <c r="C81" s="60"/>
      <c r="D81" s="60"/>
      <c r="E81" s="60"/>
      <c r="F81" s="60"/>
      <c r="G81" s="60"/>
      <c r="H81" s="60"/>
      <c r="I81" s="60"/>
      <c r="J81" s="60"/>
      <c r="K81" s="60"/>
    </row>
    <row r="82" spans="1:11" x14ac:dyDescent="0.2">
      <c r="A82" s="60"/>
      <c r="B82" s="60"/>
      <c r="C82" s="60"/>
      <c r="D82" s="60"/>
      <c r="E82" s="60"/>
      <c r="F82" s="60"/>
      <c r="G82" s="60"/>
      <c r="H82" s="60"/>
      <c r="I82" s="60"/>
      <c r="J82" s="60"/>
      <c r="K82" s="60"/>
    </row>
    <row r="83" spans="1:11" x14ac:dyDescent="0.2">
      <c r="A83" s="60"/>
      <c r="B83" s="60"/>
      <c r="C83" s="60"/>
      <c r="D83" s="60"/>
      <c r="E83" s="60"/>
      <c r="F83" s="60"/>
      <c r="G83" s="60"/>
      <c r="H83" s="60"/>
      <c r="I83" s="60"/>
      <c r="J83" s="60"/>
      <c r="K83" s="60"/>
    </row>
    <row r="84" spans="1:11" x14ac:dyDescent="0.2">
      <c r="A84" s="60"/>
      <c r="B84" s="60"/>
      <c r="C84" s="60"/>
      <c r="D84" s="60"/>
      <c r="E84" s="60"/>
      <c r="F84" s="60"/>
      <c r="G84" s="60"/>
      <c r="H84" s="60"/>
      <c r="I84" s="60"/>
      <c r="J84" s="60"/>
      <c r="K84" s="60"/>
    </row>
    <row r="85" spans="1:11" x14ac:dyDescent="0.2">
      <c r="A85" s="60"/>
      <c r="B85" s="60"/>
      <c r="C85" s="60"/>
      <c r="D85" s="60"/>
      <c r="E85" s="60"/>
      <c r="F85" s="60"/>
      <c r="G85" s="60"/>
      <c r="H85" s="60"/>
      <c r="I85" s="60"/>
      <c r="J85" s="60"/>
      <c r="K85" s="60"/>
    </row>
    <row r="86" spans="1:11" x14ac:dyDescent="0.2">
      <c r="A86" s="60"/>
      <c r="B86" s="60"/>
      <c r="C86" s="60"/>
      <c r="D86" s="60"/>
      <c r="E86" s="60"/>
      <c r="F86" s="60"/>
      <c r="G86" s="60"/>
      <c r="H86" s="60"/>
      <c r="I86" s="60"/>
      <c r="J86" s="60"/>
      <c r="K86" s="60"/>
    </row>
    <row r="87" spans="1:11" x14ac:dyDescent="0.2">
      <c r="A87" s="60"/>
      <c r="B87" s="60"/>
      <c r="C87" s="60"/>
      <c r="D87" s="60"/>
      <c r="E87" s="60"/>
      <c r="F87" s="60"/>
      <c r="G87" s="60"/>
      <c r="H87" s="60"/>
      <c r="I87" s="60"/>
      <c r="J87" s="60"/>
      <c r="K87" s="60"/>
    </row>
    <row r="88" spans="1:11" x14ac:dyDescent="0.2">
      <c r="A88" s="60"/>
      <c r="B88" s="60"/>
      <c r="C88" s="60"/>
      <c r="D88" s="60"/>
      <c r="E88" s="60"/>
      <c r="F88" s="60"/>
      <c r="G88" s="60"/>
      <c r="H88" s="60"/>
      <c r="I88" s="60"/>
      <c r="J88" s="60"/>
      <c r="K88" s="60"/>
    </row>
    <row r="89" spans="1:11" x14ac:dyDescent="0.2">
      <c r="A89" s="60"/>
      <c r="B89" s="60"/>
      <c r="C89" s="60"/>
      <c r="D89" s="60"/>
      <c r="E89" s="60"/>
      <c r="F89" s="60"/>
      <c r="G89" s="60"/>
      <c r="H89" s="60"/>
      <c r="I89" s="60"/>
      <c r="J89" s="60"/>
      <c r="K89" s="60"/>
    </row>
    <row r="90" spans="1:11" x14ac:dyDescent="0.2">
      <c r="A90" s="60"/>
      <c r="B90" s="60"/>
      <c r="C90" s="60"/>
      <c r="D90" s="60"/>
      <c r="E90" s="60"/>
      <c r="F90" s="60"/>
      <c r="G90" s="60"/>
      <c r="H90" s="60"/>
      <c r="I90" s="60"/>
      <c r="J90" s="60"/>
      <c r="K90" s="60"/>
    </row>
    <row r="91" spans="1:11" x14ac:dyDescent="0.2">
      <c r="A91" s="60"/>
      <c r="B91" s="60"/>
      <c r="C91" s="60"/>
      <c r="D91" s="60"/>
      <c r="E91" s="60"/>
      <c r="F91" s="60"/>
      <c r="G91" s="60"/>
      <c r="H91" s="60"/>
      <c r="I91" s="60"/>
      <c r="J91" s="60"/>
      <c r="K91" s="60"/>
    </row>
    <row r="92" spans="1:11" x14ac:dyDescent="0.2">
      <c r="A92" s="60"/>
      <c r="B92" s="60"/>
      <c r="C92" s="60"/>
      <c r="D92" s="60"/>
      <c r="E92" s="60"/>
      <c r="F92" s="60"/>
      <c r="G92" s="60"/>
      <c r="H92" s="60"/>
      <c r="I92" s="60"/>
      <c r="J92" s="60"/>
      <c r="K92" s="60"/>
    </row>
    <row r="93" spans="1:11" x14ac:dyDescent="0.2">
      <c r="A93" s="60"/>
      <c r="B93" s="60"/>
      <c r="C93" s="60"/>
      <c r="D93" s="60"/>
      <c r="E93" s="60"/>
      <c r="F93" s="60"/>
      <c r="G93" s="60"/>
      <c r="H93" s="60"/>
      <c r="I93" s="60"/>
      <c r="J93" s="60"/>
      <c r="K93" s="60"/>
    </row>
    <row r="94" spans="1:11" x14ac:dyDescent="0.2">
      <c r="A94" s="60"/>
      <c r="B94" s="60"/>
      <c r="C94" s="60"/>
      <c r="D94" s="60"/>
      <c r="E94" s="60"/>
      <c r="F94" s="60"/>
      <c r="G94" s="60"/>
      <c r="H94" s="60"/>
      <c r="I94" s="60"/>
      <c r="J94" s="60"/>
      <c r="K94" s="60"/>
    </row>
    <row r="95" spans="1:11" x14ac:dyDescent="0.2">
      <c r="A95" s="60"/>
      <c r="B95" s="60"/>
      <c r="C95" s="60"/>
      <c r="D95" s="60"/>
      <c r="E95" s="60"/>
      <c r="F95" s="60"/>
      <c r="G95" s="60"/>
      <c r="H95" s="60"/>
      <c r="I95" s="60"/>
      <c r="J95" s="60"/>
      <c r="K95" s="60"/>
    </row>
    <row r="96" spans="1:11" x14ac:dyDescent="0.2">
      <c r="A96" s="60"/>
      <c r="B96" s="60"/>
      <c r="C96" s="60"/>
      <c r="D96" s="60"/>
      <c r="E96" s="60"/>
      <c r="F96" s="60"/>
      <c r="G96" s="60"/>
      <c r="H96" s="60"/>
      <c r="I96" s="60"/>
      <c r="J96" s="60"/>
      <c r="K96" s="60"/>
    </row>
    <row r="97" spans="1:11" x14ac:dyDescent="0.2">
      <c r="A97" s="60"/>
      <c r="B97" s="60"/>
      <c r="C97" s="60"/>
      <c r="D97" s="60"/>
      <c r="E97" s="60"/>
      <c r="F97" s="60"/>
      <c r="G97" s="60"/>
      <c r="H97" s="60"/>
      <c r="I97" s="60"/>
      <c r="J97" s="60"/>
      <c r="K97" s="60"/>
    </row>
    <row r="98" spans="1:11" x14ac:dyDescent="0.2">
      <c r="A98" s="60"/>
      <c r="B98" s="60"/>
      <c r="C98" s="60"/>
      <c r="D98" s="60"/>
      <c r="E98" s="60"/>
      <c r="F98" s="60"/>
      <c r="G98" s="60"/>
      <c r="H98" s="60"/>
      <c r="I98" s="60"/>
      <c r="J98" s="60"/>
      <c r="K98" s="60"/>
    </row>
    <row r="99" spans="1:11" x14ac:dyDescent="0.2">
      <c r="A99" s="60"/>
      <c r="B99" s="60"/>
      <c r="C99" s="60"/>
      <c r="D99" s="60"/>
      <c r="E99" s="60"/>
      <c r="F99" s="60"/>
      <c r="G99" s="60"/>
      <c r="H99" s="60"/>
      <c r="I99" s="60"/>
      <c r="J99" s="60"/>
      <c r="K99" s="60"/>
    </row>
    <row r="100" spans="1:11" x14ac:dyDescent="0.2">
      <c r="A100" s="60"/>
      <c r="B100" s="60"/>
      <c r="C100" s="60"/>
      <c r="D100" s="60"/>
      <c r="E100" s="60"/>
      <c r="F100" s="60"/>
      <c r="G100" s="60"/>
      <c r="H100" s="60"/>
      <c r="I100" s="60"/>
      <c r="J100" s="60"/>
      <c r="K100" s="60"/>
    </row>
    <row r="101" spans="1:11" x14ac:dyDescent="0.2">
      <c r="A101" s="60"/>
      <c r="B101" s="60"/>
      <c r="C101" s="60"/>
      <c r="D101" s="60"/>
      <c r="E101" s="60"/>
      <c r="F101" s="60"/>
      <c r="G101" s="60"/>
      <c r="H101" s="60"/>
      <c r="I101" s="60"/>
      <c r="J101" s="60"/>
      <c r="K101" s="60"/>
    </row>
    <row r="102" spans="1:11" x14ac:dyDescent="0.2">
      <c r="A102" s="60"/>
      <c r="B102" s="60"/>
      <c r="C102" s="60"/>
      <c r="D102" s="60"/>
      <c r="E102" s="60"/>
      <c r="F102" s="60"/>
      <c r="G102" s="60"/>
      <c r="H102" s="60"/>
      <c r="I102" s="60"/>
      <c r="J102" s="60"/>
      <c r="K102" s="60"/>
    </row>
    <row r="103" spans="1:11" x14ac:dyDescent="0.2">
      <c r="A103" s="60"/>
      <c r="B103" s="60"/>
      <c r="C103" s="60"/>
      <c r="D103" s="60"/>
      <c r="E103" s="60"/>
      <c r="F103" s="60"/>
      <c r="G103" s="60"/>
      <c r="H103" s="60"/>
      <c r="I103" s="60"/>
      <c r="J103" s="60"/>
      <c r="K103" s="60"/>
    </row>
    <row r="104" spans="1:11" x14ac:dyDescent="0.2">
      <c r="A104" s="60"/>
      <c r="B104" s="60"/>
      <c r="C104" s="60"/>
      <c r="D104" s="60"/>
      <c r="E104" s="60"/>
      <c r="F104" s="60"/>
      <c r="G104" s="60"/>
      <c r="H104" s="60"/>
      <c r="I104" s="60"/>
      <c r="J104" s="60"/>
      <c r="K104" s="60"/>
    </row>
    <row r="105" spans="1:11" x14ac:dyDescent="0.2">
      <c r="A105" s="60"/>
      <c r="B105" s="60"/>
      <c r="C105" s="60"/>
      <c r="D105" s="60"/>
      <c r="E105" s="60"/>
      <c r="F105" s="60"/>
      <c r="G105" s="60"/>
      <c r="H105" s="60"/>
      <c r="I105" s="60"/>
      <c r="J105" s="60"/>
      <c r="K105" s="60"/>
    </row>
    <row r="106" spans="1:11" x14ac:dyDescent="0.2">
      <c r="A106" s="60"/>
      <c r="B106" s="60"/>
      <c r="C106" s="60"/>
      <c r="D106" s="60"/>
      <c r="E106" s="60"/>
      <c r="F106" s="60"/>
      <c r="G106" s="60"/>
      <c r="H106" s="60"/>
      <c r="I106" s="60"/>
      <c r="J106" s="60"/>
      <c r="K106" s="60"/>
    </row>
    <row r="107" spans="1:11" x14ac:dyDescent="0.2">
      <c r="A107" s="60"/>
      <c r="B107" s="60"/>
      <c r="C107" s="60"/>
      <c r="D107" s="60"/>
      <c r="E107" s="60"/>
      <c r="F107" s="60"/>
      <c r="G107" s="60"/>
      <c r="H107" s="60"/>
      <c r="I107" s="60"/>
      <c r="J107" s="60"/>
      <c r="K107" s="60"/>
    </row>
    <row r="108" spans="1:11" x14ac:dyDescent="0.2">
      <c r="A108" s="60"/>
      <c r="B108" s="60"/>
      <c r="C108" s="60"/>
      <c r="D108" s="60"/>
      <c r="E108" s="60"/>
      <c r="F108" s="60"/>
      <c r="G108" s="60"/>
      <c r="H108" s="60"/>
      <c r="I108" s="60"/>
      <c r="J108" s="60"/>
      <c r="K108" s="60"/>
    </row>
    <row r="109" spans="1:11" x14ac:dyDescent="0.2">
      <c r="A109" s="60"/>
      <c r="B109" s="60"/>
      <c r="C109" s="60"/>
      <c r="D109" s="60"/>
      <c r="E109" s="60"/>
      <c r="F109" s="60"/>
      <c r="G109" s="60"/>
      <c r="H109" s="60"/>
      <c r="I109" s="60"/>
      <c r="J109" s="60"/>
      <c r="K109" s="60"/>
    </row>
    <row r="110" spans="1:11" x14ac:dyDescent="0.2">
      <c r="A110" s="60"/>
      <c r="B110" s="60"/>
      <c r="C110" s="60"/>
      <c r="D110" s="60"/>
      <c r="E110" s="60"/>
      <c r="F110" s="60"/>
      <c r="G110" s="60"/>
      <c r="H110" s="60"/>
      <c r="I110" s="60"/>
      <c r="J110" s="60"/>
      <c r="K110" s="60"/>
    </row>
    <row r="111" spans="1:11" x14ac:dyDescent="0.2">
      <c r="A111" s="60"/>
      <c r="B111" s="60"/>
      <c r="C111" s="60"/>
      <c r="D111" s="60"/>
      <c r="E111" s="60"/>
      <c r="F111" s="60"/>
      <c r="G111" s="60"/>
      <c r="H111" s="60"/>
      <c r="I111" s="60"/>
      <c r="J111" s="60"/>
      <c r="K111" s="60"/>
    </row>
    <row r="112" spans="1:11" x14ac:dyDescent="0.2">
      <c r="A112" s="60"/>
      <c r="B112" s="60"/>
      <c r="C112" s="60"/>
      <c r="D112" s="60"/>
      <c r="E112" s="60"/>
      <c r="F112" s="60"/>
      <c r="G112" s="60"/>
      <c r="H112" s="60"/>
      <c r="I112" s="60"/>
      <c r="J112" s="60"/>
      <c r="K112" s="60"/>
    </row>
    <row r="113" spans="1:11" x14ac:dyDescent="0.2">
      <c r="A113" s="60"/>
      <c r="B113" s="60"/>
      <c r="C113" s="60"/>
      <c r="D113" s="60"/>
      <c r="E113" s="60"/>
      <c r="F113" s="60"/>
      <c r="G113" s="60"/>
      <c r="H113" s="60"/>
      <c r="I113" s="60"/>
      <c r="J113" s="60"/>
      <c r="K113" s="60"/>
    </row>
    <row r="114" spans="1:11" x14ac:dyDescent="0.2">
      <c r="A114" s="60"/>
      <c r="B114" s="60"/>
      <c r="C114" s="60"/>
      <c r="D114" s="60"/>
      <c r="E114" s="60"/>
      <c r="F114" s="60"/>
      <c r="G114" s="60"/>
      <c r="H114" s="60"/>
      <c r="I114" s="60"/>
      <c r="J114" s="60"/>
      <c r="K114" s="60"/>
    </row>
    <row r="115" spans="1:11" x14ac:dyDescent="0.2">
      <c r="A115" s="60"/>
      <c r="B115" s="60"/>
      <c r="C115" s="60"/>
      <c r="D115" s="60"/>
      <c r="E115" s="60"/>
      <c r="F115" s="60"/>
      <c r="G115" s="60"/>
      <c r="H115" s="60"/>
      <c r="I115" s="60"/>
      <c r="J115" s="60"/>
      <c r="K115" s="60"/>
    </row>
    <row r="116" spans="1:11" x14ac:dyDescent="0.2">
      <c r="A116" s="60"/>
      <c r="B116" s="60"/>
      <c r="C116" s="60"/>
      <c r="D116" s="60"/>
      <c r="E116" s="60"/>
      <c r="F116" s="60"/>
      <c r="G116" s="60"/>
      <c r="H116" s="60"/>
      <c r="I116" s="60"/>
      <c r="J116" s="60"/>
      <c r="K116" s="60"/>
    </row>
    <row r="117" spans="1:11" x14ac:dyDescent="0.2">
      <c r="A117" s="60"/>
      <c r="B117" s="60"/>
      <c r="C117" s="60"/>
      <c r="D117" s="60"/>
      <c r="E117" s="60"/>
      <c r="F117" s="60"/>
      <c r="G117" s="60"/>
      <c r="H117" s="60"/>
      <c r="I117" s="60"/>
      <c r="J117" s="60"/>
      <c r="K117" s="60"/>
    </row>
    <row r="118" spans="1:11" x14ac:dyDescent="0.2">
      <c r="A118" s="60"/>
      <c r="B118" s="60"/>
      <c r="C118" s="60"/>
      <c r="D118" s="60"/>
      <c r="E118" s="60"/>
      <c r="F118" s="60"/>
      <c r="G118" s="60"/>
      <c r="H118" s="60"/>
      <c r="I118" s="60"/>
      <c r="J118" s="60"/>
      <c r="K118" s="60"/>
    </row>
    <row r="119" spans="1:11" x14ac:dyDescent="0.2">
      <c r="A119" s="60"/>
      <c r="B119" s="60"/>
      <c r="C119" s="60"/>
      <c r="D119" s="60"/>
      <c r="E119" s="60"/>
      <c r="F119" s="60"/>
      <c r="G119" s="60"/>
      <c r="H119" s="60"/>
      <c r="I119" s="60"/>
      <c r="J119" s="60"/>
      <c r="K119" s="60"/>
    </row>
    <row r="120" spans="1:11" x14ac:dyDescent="0.2">
      <c r="A120" s="60"/>
      <c r="B120" s="60"/>
      <c r="C120" s="60"/>
      <c r="D120" s="60"/>
      <c r="E120" s="60"/>
      <c r="F120" s="60"/>
      <c r="G120" s="60"/>
      <c r="H120" s="60"/>
      <c r="I120" s="60"/>
      <c r="J120" s="60"/>
      <c r="K120" s="60"/>
    </row>
  </sheetData>
  <pageMargins left="0.25" right="0.25" top="0.75" bottom="0.75" header="0.3" footer="0.3"/>
  <pageSetup scale="79" fitToHeight="0" orientation="landscape"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N121"/>
  <sheetViews>
    <sheetView showGridLines="0" zoomScaleNormal="100" workbookViewId="0">
      <selection activeCell="F36" sqref="F36"/>
    </sheetView>
  </sheetViews>
  <sheetFormatPr defaultRowHeight="12.75" x14ac:dyDescent="0.2"/>
  <cols>
    <col min="1" max="1" width="9.140625" style="186"/>
    <col min="2" max="2" width="3.7109375" style="186" customWidth="1"/>
    <col min="3" max="12" width="12.7109375" style="186" customWidth="1"/>
    <col min="13" max="16384" width="9.140625" style="186"/>
  </cols>
  <sheetData>
    <row r="1" spans="1:13" x14ac:dyDescent="0.2">
      <c r="A1" s="320" t="str">
        <f>"Commodity Pricing:  "&amp;TEXT(A7,"mmm-yy")&amp;" - "&amp;TEXT(A18,"mmm-yy")</f>
        <v>Commodity Pricing:  May-16 - Apr-17</v>
      </c>
      <c r="B1" s="319"/>
    </row>
    <row r="2" spans="1:13" x14ac:dyDescent="0.2">
      <c r="A2" s="318" t="s">
        <v>20</v>
      </c>
      <c r="B2" s="318"/>
    </row>
    <row r="3" spans="1:13" x14ac:dyDescent="0.2">
      <c r="A3" s="318"/>
      <c r="B3" s="318"/>
    </row>
    <row r="4" spans="1:13" x14ac:dyDescent="0.2">
      <c r="B4" s="314"/>
      <c r="C4" s="316" t="s">
        <v>21</v>
      </c>
      <c r="D4" s="316" t="s">
        <v>22</v>
      </c>
      <c r="E4" s="316" t="s">
        <v>55</v>
      </c>
      <c r="F4" s="316" t="s">
        <v>23</v>
      </c>
      <c r="G4" s="316" t="s">
        <v>24</v>
      </c>
      <c r="H4" s="316" t="s">
        <v>25</v>
      </c>
      <c r="I4" s="316" t="s">
        <v>26</v>
      </c>
      <c r="J4" s="316" t="s">
        <v>27</v>
      </c>
      <c r="K4" s="316" t="s">
        <v>28</v>
      </c>
      <c r="L4" s="316" t="s">
        <v>29</v>
      </c>
      <c r="M4" s="316"/>
    </row>
    <row r="5" spans="1:13" x14ac:dyDescent="0.2">
      <c r="B5" s="314"/>
      <c r="C5" s="323">
        <v>69</v>
      </c>
      <c r="D5" s="323">
        <v>71</v>
      </c>
      <c r="E5" s="323">
        <v>72</v>
      </c>
      <c r="F5" s="323">
        <v>67</v>
      </c>
      <c r="G5" s="323">
        <v>64</v>
      </c>
      <c r="H5" s="323">
        <v>74</v>
      </c>
      <c r="I5" s="323">
        <v>68</v>
      </c>
      <c r="J5" s="323">
        <v>68</v>
      </c>
      <c r="K5" s="323">
        <v>65</v>
      </c>
      <c r="L5" s="323">
        <v>73</v>
      </c>
      <c r="M5" s="314"/>
    </row>
    <row r="6" spans="1:13" x14ac:dyDescent="0.2">
      <c r="B6" s="314"/>
      <c r="C6" s="314"/>
      <c r="D6" s="314"/>
      <c r="E6" s="314"/>
      <c r="F6" s="314"/>
      <c r="G6" s="314"/>
      <c r="H6" s="314"/>
      <c r="I6" s="314"/>
      <c r="J6" s="314"/>
      <c r="K6" s="314"/>
      <c r="L6" s="314"/>
      <c r="M6" s="314"/>
    </row>
    <row r="7" spans="1:13" x14ac:dyDescent="0.2">
      <c r="A7" s="313">
        <f>+'Commodity Tonnages (2)'!A7</f>
        <v>42491</v>
      </c>
      <c r="B7" s="314"/>
      <c r="C7" s="307">
        <f>HLOOKUP($A7,'Single Family (2)'!$C$6:$N$79,C$5,FALSE)</f>
        <v>798</v>
      </c>
      <c r="D7" s="311">
        <f>HLOOKUP($A7,'Single Family (2)'!$C$6:$N$79,D$5,FALSE)</f>
        <v>-2.2000000000000002</v>
      </c>
      <c r="E7" s="311">
        <f>HLOOKUP($A7,'Single Family (2)'!$C$6:$N$79,E$5,FALSE)</f>
        <v>-120.17</v>
      </c>
      <c r="F7" s="307">
        <f>HLOOKUP($A7,'Single Family (2)'!$C$6:$N$79,F$5,FALSE)</f>
        <v>73.930000000000007</v>
      </c>
      <c r="G7" s="307">
        <f>HLOOKUP($A7,'Single Family (2)'!$C$6:$N$79,G$5,FALSE)</f>
        <v>72.25</v>
      </c>
      <c r="H7" s="307">
        <f>HLOOKUP($A7,'Single Family (2)'!$C$6:$N$79,H$5,FALSE)</f>
        <v>69.38</v>
      </c>
      <c r="I7" s="307">
        <f>HLOOKUP($A7,'Single Family (2)'!$C$6:$N$79,I$5,FALSE)</f>
        <v>133.80000000000001</v>
      </c>
      <c r="J7" s="307">
        <f>HLOOKUP($A7,'Single Family (2)'!$C$6:$N$79,J$5,FALSE)</f>
        <v>133.80000000000001</v>
      </c>
      <c r="K7" s="307">
        <f>HLOOKUP($A7,'Single Family (2)'!$C$6:$N$79,K$5,FALSE)</f>
        <v>87.8</v>
      </c>
      <c r="L7" s="311">
        <f>HLOOKUP($A7,'Single Family (2)'!$C$6:$N$79,L$5,FALSE)</f>
        <v>-120.17</v>
      </c>
      <c r="M7" s="314"/>
    </row>
    <row r="8" spans="1:13" x14ac:dyDescent="0.2">
      <c r="A8" s="313">
        <f>+'Commodity Tonnages (2)'!A8</f>
        <v>42551</v>
      </c>
      <c r="B8" s="314"/>
      <c r="C8" s="307">
        <f>HLOOKUP($A8,'Single Family (2)'!$C$6:$N$79,C$5,FALSE)</f>
        <v>778.7</v>
      </c>
      <c r="D8" s="311">
        <f>HLOOKUP($A8,'Single Family (2)'!$C$6:$N$79,D$5,FALSE)</f>
        <v>-7.81</v>
      </c>
      <c r="E8" s="311">
        <f>HLOOKUP($A8,'Single Family (2)'!$C$6:$N$79,E$5,FALSE)</f>
        <v>-120.17</v>
      </c>
      <c r="F8" s="307">
        <f>HLOOKUP($A8,'Single Family (2)'!$C$6:$N$79,F$5,FALSE)</f>
        <v>64.900000000000006</v>
      </c>
      <c r="G8" s="307">
        <f>HLOOKUP($A8,'Single Family (2)'!$C$6:$N$79,G$5,FALSE)</f>
        <v>75.63</v>
      </c>
      <c r="H8" s="307">
        <f>HLOOKUP($A8,'Single Family (2)'!$C$6:$N$79,H$5,FALSE)</f>
        <v>71.97</v>
      </c>
      <c r="I8" s="307">
        <f>HLOOKUP($A8,'Single Family (2)'!$C$6:$N$79,I$5,FALSE)</f>
        <v>129.44999999999999</v>
      </c>
      <c r="J8" s="307">
        <f>HLOOKUP($A8,'Single Family (2)'!$C$6:$N$79,J$5,FALSE)</f>
        <v>129.44999999999999</v>
      </c>
      <c r="K8" s="307">
        <f>HLOOKUP($A8,'Single Family (2)'!$C$6:$N$79,K$5,FALSE)</f>
        <v>90.36</v>
      </c>
      <c r="L8" s="311">
        <f>HLOOKUP($A8,'Single Family (2)'!$C$6:$N$79,L$5,FALSE)</f>
        <v>-120.17</v>
      </c>
      <c r="M8" s="314"/>
    </row>
    <row r="9" spans="1:13" x14ac:dyDescent="0.2">
      <c r="A9" s="313">
        <f>+'Commodity Tonnages (2)'!A9</f>
        <v>42582</v>
      </c>
      <c r="B9" s="305"/>
      <c r="C9" s="307">
        <f>HLOOKUP($A9,'Single Family (2)'!$C$6:$N$79,C$5,FALSE)</f>
        <v>777</v>
      </c>
      <c r="D9" s="311">
        <f>HLOOKUP($A9,'Single Family (2)'!$C$6:$N$79,D$5,FALSE)</f>
        <v>-8.0299999999999994</v>
      </c>
      <c r="E9" s="311">
        <f>HLOOKUP($A9,'Single Family (2)'!$C$6:$N$79,E$5,FALSE)</f>
        <v>-120.17</v>
      </c>
      <c r="F9" s="307">
        <f>HLOOKUP($A9,'Single Family (2)'!$C$6:$N$79,F$5,FALSE)</f>
        <v>58.33</v>
      </c>
      <c r="G9" s="307">
        <f>HLOOKUP($A9,'Single Family (2)'!$C$6:$N$79,G$5,FALSE)</f>
        <v>83.6</v>
      </c>
      <c r="H9" s="307">
        <f>HLOOKUP($A9,'Single Family (2)'!$C$6:$N$79,H$5,FALSE)</f>
        <v>78.17</v>
      </c>
      <c r="I9" s="307">
        <f>HLOOKUP($A9,'Single Family (2)'!$C$6:$N$79,I$5,FALSE)</f>
        <v>134.41</v>
      </c>
      <c r="J9" s="307">
        <f>HLOOKUP($A9,'Single Family (2)'!$C$6:$N$79,J$5,FALSE)</f>
        <v>134.41</v>
      </c>
      <c r="K9" s="307">
        <f>HLOOKUP($A9,'Single Family (2)'!$C$6:$N$79,K$5,FALSE)</f>
        <v>101.52</v>
      </c>
      <c r="L9" s="311">
        <f>HLOOKUP($A9,'Single Family (2)'!$C$6:$N$79,L$5,FALSE)</f>
        <v>-120.17</v>
      </c>
      <c r="M9" s="306"/>
    </row>
    <row r="10" spans="1:13" x14ac:dyDescent="0.2">
      <c r="A10" s="313">
        <f>+'Commodity Tonnages (2)'!A10</f>
        <v>42613</v>
      </c>
      <c r="B10" s="305"/>
      <c r="C10" s="307">
        <f>HLOOKUP($A10,'Single Family (2)'!$C$6:$N$79,C$5,FALSE)</f>
        <v>798</v>
      </c>
      <c r="D10" s="311">
        <f>HLOOKUP($A10,'Single Family (2)'!$C$6:$N$79,D$5,FALSE)</f>
        <v>-1.52</v>
      </c>
      <c r="E10" s="311">
        <f>HLOOKUP($A10,'Single Family (2)'!$C$6:$N$79,E$5,FALSE)</f>
        <v>-120.17</v>
      </c>
      <c r="F10" s="307">
        <f>HLOOKUP($A10,'Single Family (2)'!$C$6:$N$79,F$5,FALSE)</f>
        <v>59.25</v>
      </c>
      <c r="G10" s="307">
        <f>HLOOKUP($A10,'Single Family (2)'!$C$6:$N$79,G$5,FALSE)</f>
        <v>93.37</v>
      </c>
      <c r="H10" s="307">
        <f>HLOOKUP($A10,'Single Family (2)'!$C$6:$N$79,H$5,FALSE)</f>
        <v>87.47</v>
      </c>
      <c r="I10" s="307">
        <f>HLOOKUP($A10,'Single Family (2)'!$C$6:$N$79,I$5,FALSE)</f>
        <v>130.41999999999999</v>
      </c>
      <c r="J10" s="307">
        <f>HLOOKUP($A10,'Single Family (2)'!$C$6:$N$79,J$5,FALSE)</f>
        <v>130.41999999999999</v>
      </c>
      <c r="K10" s="307">
        <f>HLOOKUP($A10,'Single Family (2)'!$C$6:$N$79,K$5,FALSE)</f>
        <v>110.76</v>
      </c>
      <c r="L10" s="311">
        <f>HLOOKUP($A10,'Single Family (2)'!$C$6:$N$79,L$5,FALSE)</f>
        <v>-120.17</v>
      </c>
      <c r="M10" s="306"/>
    </row>
    <row r="11" spans="1:13" x14ac:dyDescent="0.2">
      <c r="A11" s="313">
        <f>+'Commodity Tonnages (2)'!A11</f>
        <v>42643</v>
      </c>
      <c r="B11" s="305"/>
      <c r="C11" s="307">
        <f>HLOOKUP($A11,'Single Family (2)'!$C$6:$N$79,C$5,FALSE)</f>
        <v>784</v>
      </c>
      <c r="D11" s="311">
        <f>HLOOKUP($A11,'Single Family (2)'!$C$6:$N$79,D$5,FALSE)</f>
        <v>-5.91</v>
      </c>
      <c r="E11" s="311">
        <f>HLOOKUP($A11,'Single Family (2)'!$C$6:$N$79,E$5,FALSE)</f>
        <v>-120.17</v>
      </c>
      <c r="F11" s="307">
        <f>HLOOKUP($A11,'Single Family (2)'!$C$6:$N$79,F$5,FALSE)</f>
        <v>59.29</v>
      </c>
      <c r="G11" s="307">
        <f>HLOOKUP($A11,'Single Family (2)'!$C$6:$N$79,G$5,FALSE)</f>
        <v>90.66</v>
      </c>
      <c r="H11" s="307">
        <f>HLOOKUP($A11,'Single Family (2)'!$C$6:$N$79,H$5,FALSE)</f>
        <v>77.81</v>
      </c>
      <c r="I11" s="307">
        <f>HLOOKUP($A11,'Single Family (2)'!$C$6:$N$79,I$5,FALSE)</f>
        <v>110.89</v>
      </c>
      <c r="J11" s="307">
        <f>HLOOKUP($A11,'Single Family (2)'!$C$6:$N$79,J$5,FALSE)</f>
        <v>110.89</v>
      </c>
      <c r="K11" s="307">
        <f>HLOOKUP($A11,'Single Family (2)'!$C$6:$N$79,K$5,FALSE)</f>
        <v>99.86</v>
      </c>
      <c r="L11" s="311">
        <f>HLOOKUP($A11,'Single Family (2)'!$C$6:$N$79,L$5,FALSE)</f>
        <v>-120.17</v>
      </c>
      <c r="M11" s="306"/>
    </row>
    <row r="12" spans="1:13" x14ac:dyDescent="0.2">
      <c r="A12" s="313">
        <f>+'Commodity Tonnages (2)'!A12</f>
        <v>42674</v>
      </c>
      <c r="B12" s="305"/>
      <c r="C12" s="307">
        <f>HLOOKUP($A12,'Single Family (2)'!$C$6:$N$79,C$5,FALSE)</f>
        <v>812</v>
      </c>
      <c r="D12" s="311">
        <f>HLOOKUP($A12,'Single Family (2)'!$C$6:$N$79,D$5,FALSE)</f>
        <v>-6.71</v>
      </c>
      <c r="E12" s="311">
        <f>HLOOKUP($A12,'Single Family (2)'!$C$6:$N$79,E$5,FALSE)</f>
        <v>-120.17</v>
      </c>
      <c r="F12" s="307">
        <f>HLOOKUP($A12,'Single Family (2)'!$C$6:$N$79,F$5,FALSE)</f>
        <v>52.472000000000001</v>
      </c>
      <c r="G12" s="307">
        <f>HLOOKUP($A12,'Single Family (2)'!$C$6:$N$79,G$5,FALSE)</f>
        <v>88.47</v>
      </c>
      <c r="H12" s="307">
        <f>HLOOKUP($A12,'Single Family (2)'!$C$6:$N$79,H$5,FALSE)</f>
        <v>76.42</v>
      </c>
      <c r="I12" s="307">
        <f>HLOOKUP($A12,'Single Family (2)'!$C$6:$N$79,I$5,FALSE)</f>
        <v>100.65</v>
      </c>
      <c r="J12" s="307">
        <f>HLOOKUP($A12,'Single Family (2)'!$C$6:$N$79,J$5,FALSE)</f>
        <v>100.65</v>
      </c>
      <c r="K12" s="307">
        <f>HLOOKUP($A12,'Single Family (2)'!$C$6:$N$79,K$5,FALSE)</f>
        <v>103.64</v>
      </c>
      <c r="L12" s="311">
        <f>HLOOKUP($A12,'Single Family (2)'!$C$6:$N$79,L$5,FALSE)</f>
        <v>-120.17</v>
      </c>
      <c r="M12" s="306"/>
    </row>
    <row r="13" spans="1:13" x14ac:dyDescent="0.2">
      <c r="A13" s="313">
        <f>+'Commodity Tonnages (2)'!A13</f>
        <v>42704</v>
      </c>
      <c r="B13" s="305"/>
      <c r="C13" s="307">
        <f>HLOOKUP($A13,'Single Family (2)'!$C$6:$N$79,C$5,FALSE)</f>
        <v>836.49</v>
      </c>
      <c r="D13" s="311">
        <f>HLOOKUP($A13,'Single Family (2)'!$C$6:$N$79,D$5,FALSE)</f>
        <v>-16.34</v>
      </c>
      <c r="E13" s="311">
        <f>HLOOKUP($A13,'Single Family (2)'!$C$6:$N$79,E$5,FALSE)</f>
        <v>-120.17</v>
      </c>
      <c r="F13" s="307">
        <f>HLOOKUP($A13,'Single Family (2)'!$C$6:$N$79,F$5,FALSE)</f>
        <v>66.003</v>
      </c>
      <c r="G13" s="307">
        <f>HLOOKUP($A13,'Single Family (2)'!$C$6:$N$79,G$5,FALSE)</f>
        <v>91.42</v>
      </c>
      <c r="H13" s="307">
        <f>HLOOKUP($A13,'Single Family (2)'!$C$6:$N$79,H$5,FALSE)</f>
        <v>81.59</v>
      </c>
      <c r="I13" s="307">
        <f>HLOOKUP($A13,'Single Family (2)'!$C$6:$N$79,I$5,FALSE)</f>
        <v>107.11</v>
      </c>
      <c r="J13" s="307">
        <f>HLOOKUP($A13,'Single Family (2)'!$C$6:$N$79,J$5,FALSE)</f>
        <v>107.11</v>
      </c>
      <c r="K13" s="307">
        <f>HLOOKUP($A13,'Single Family (2)'!$C$6:$N$79,K$5,FALSE)</f>
        <v>110.66</v>
      </c>
      <c r="L13" s="311">
        <f>HLOOKUP($A13,'Single Family (2)'!$C$6:$N$79,L$5,FALSE)</f>
        <v>-120.17</v>
      </c>
      <c r="M13" s="306"/>
    </row>
    <row r="14" spans="1:13" x14ac:dyDescent="0.2">
      <c r="A14" s="313">
        <f>+'Commodity Tonnages (2)'!A14</f>
        <v>42735</v>
      </c>
      <c r="B14" s="305"/>
      <c r="C14" s="307">
        <f>HLOOKUP($A14,'Single Family (2)'!$C$6:$N$79,C$5,FALSE)</f>
        <v>863.56899999999996</v>
      </c>
      <c r="D14" s="311">
        <f>HLOOKUP($A14,'Single Family (2)'!$C$6:$N$79,D$5,FALSE)</f>
        <v>-19.71</v>
      </c>
      <c r="E14" s="311">
        <f>HLOOKUP($A14,'Single Family (2)'!$C$6:$N$79,E$5,FALSE)</f>
        <v>-120.17</v>
      </c>
      <c r="F14" s="307">
        <f>HLOOKUP($A14,'Single Family (2)'!$C$6:$N$79,F$5,FALSE)</f>
        <v>67.542999999999992</v>
      </c>
      <c r="G14" s="307">
        <f>HLOOKUP($A14,'Single Family (2)'!$C$6:$N$79,G$5,FALSE)</f>
        <v>90.152999999999992</v>
      </c>
      <c r="H14" s="307">
        <f>HLOOKUP($A14,'Single Family (2)'!$C$6:$N$79,H$5,FALSE)</f>
        <v>85.945999999999998</v>
      </c>
      <c r="I14" s="307">
        <f>HLOOKUP($A14,'Single Family (2)'!$C$6:$N$79,I$5,FALSE)</f>
        <v>99.483999999999995</v>
      </c>
      <c r="J14" s="307">
        <f>HLOOKUP($A14,'Single Family (2)'!$C$6:$N$79,J$5,FALSE)</f>
        <v>99.483999999999995</v>
      </c>
      <c r="K14" s="307">
        <f>HLOOKUP($A14,'Single Family (2)'!$C$6:$N$79,K$5,FALSE)</f>
        <v>112.602</v>
      </c>
      <c r="L14" s="311">
        <f>HLOOKUP($A14,'Single Family (2)'!$C$6:$N$79,L$5,FALSE)</f>
        <v>-120.17</v>
      </c>
      <c r="M14" s="306"/>
    </row>
    <row r="15" spans="1:13" x14ac:dyDescent="0.2">
      <c r="A15" s="313">
        <f>+'Commodity Tonnages (2)'!A15</f>
        <v>42766</v>
      </c>
      <c r="B15" s="305"/>
      <c r="C15" s="307">
        <f>HLOOKUP($A15,'Single Family (2)'!$C$6:$N$79,C$5,FALSE)</f>
        <v>886.43799999999987</v>
      </c>
      <c r="D15" s="311">
        <f>HLOOKUP($A15,'Single Family (2)'!$C$6:$N$79,D$5,FALSE)</f>
        <v>-11</v>
      </c>
      <c r="E15" s="311">
        <f>HLOOKUP($A15,'Single Family (2)'!$C$6:$N$79,E$5,FALSE)</f>
        <v>-120.17</v>
      </c>
      <c r="F15" s="307">
        <f>HLOOKUP($A15,'Single Family (2)'!$C$6:$N$79,F$5,FALSE)</f>
        <v>82.466999999999999</v>
      </c>
      <c r="G15" s="307">
        <f>HLOOKUP($A15,'Single Family (2)'!$C$6:$N$79,G$5,FALSE)</f>
        <v>94.086999999999989</v>
      </c>
      <c r="H15" s="307">
        <f>HLOOKUP($A15,'Single Family (2)'!$C$6:$N$79,H$5,FALSE)</f>
        <v>80.394999999999996</v>
      </c>
      <c r="I15" s="307">
        <f>HLOOKUP($A15,'Single Family (2)'!$C$6:$N$79,I$5,FALSE)</f>
        <v>111.96499999999999</v>
      </c>
      <c r="J15" s="307">
        <f>HLOOKUP($A15,'Single Family (2)'!$C$6:$N$79,J$5,FALSE)</f>
        <v>111.96499999999999</v>
      </c>
      <c r="K15" s="307">
        <f>HLOOKUP($A15,'Single Family (2)'!$C$6:$N$79,K$5,FALSE)</f>
        <v>119.57399999999998</v>
      </c>
      <c r="L15" s="311">
        <f>HLOOKUP($A15,'Single Family (2)'!$C$6:$N$79,L$5,FALSE)</f>
        <v>-120.17</v>
      </c>
      <c r="M15" s="306"/>
    </row>
    <row r="16" spans="1:13" x14ac:dyDescent="0.2">
      <c r="A16" s="313">
        <f>+'Commodity Tonnages (2)'!A16</f>
        <v>42794</v>
      </c>
      <c r="B16" s="305"/>
      <c r="C16" s="307">
        <f>HLOOKUP($A16,'Single Family (2)'!$C$6:$N$79,C$5,FALSE)</f>
        <v>939.42799999999988</v>
      </c>
      <c r="D16" s="311">
        <f>HLOOKUP($A16,'Single Family (2)'!$C$6:$N$79,D$5,FALSE)</f>
        <v>-10.55</v>
      </c>
      <c r="E16" s="311">
        <f>HLOOKUP($A16,'Single Family (2)'!$C$6:$N$79,E$5,FALSE)</f>
        <v>-120.17</v>
      </c>
      <c r="F16" s="307">
        <f>HLOOKUP($A16,'Single Family (2)'!$C$6:$N$79,F$5,FALSE)</f>
        <v>73.513999999999996</v>
      </c>
      <c r="G16" s="307">
        <f>HLOOKUP($A16,'Single Family (2)'!$C$6:$N$79,G$5,FALSE)</f>
        <v>111.29300000000001</v>
      </c>
      <c r="H16" s="307">
        <f>HLOOKUP($A16,'Single Family (2)'!$C$6:$N$79,H$5,FALSE)</f>
        <v>103.03299999999999</v>
      </c>
      <c r="I16" s="307">
        <f>HLOOKUP($A16,'Single Family (2)'!$C$6:$N$79,I$5,FALSE)</f>
        <v>125.03399999999999</v>
      </c>
      <c r="J16" s="307">
        <f>HLOOKUP($A16,'Single Family (2)'!$C$6:$N$79,J$5,FALSE)</f>
        <v>125.03399999999999</v>
      </c>
      <c r="K16" s="307">
        <f>HLOOKUP($A16,'Single Family (2)'!$C$6:$N$79,K$5,FALSE)</f>
        <v>141.428</v>
      </c>
      <c r="L16" s="311">
        <f>HLOOKUP($A16,'Single Family (2)'!$C$6:$N$79,L$5,FALSE)</f>
        <v>-120.17</v>
      </c>
      <c r="M16" s="306"/>
    </row>
    <row r="17" spans="1:14" x14ac:dyDescent="0.2">
      <c r="A17" s="313">
        <f>+'Commodity Tonnages (2)'!A17</f>
        <v>42825</v>
      </c>
      <c r="B17" s="305"/>
      <c r="C17" s="307">
        <f>HLOOKUP($A17,'Single Family (2)'!$C$6:$N$79,C$5,FALSE)</f>
        <v>960.31600000000003</v>
      </c>
      <c r="D17" s="311">
        <f>HLOOKUP($A17,'Single Family (2)'!$C$6:$N$79,D$5,FALSE)</f>
        <v>-10.44</v>
      </c>
      <c r="E17" s="311">
        <f>HLOOKUP($A17,'Single Family (2)'!$C$6:$N$79,E$5,FALSE)</f>
        <v>-134.59</v>
      </c>
      <c r="F17" s="307">
        <f>HLOOKUP($A17,'Single Family (2)'!$C$6:$N$79,F$5,FALSE)</f>
        <v>89.299000000000007</v>
      </c>
      <c r="G17" s="307">
        <f>HLOOKUP($A17,'Single Family (2)'!$C$6:$N$79,G$5,FALSE)</f>
        <v>106.428</v>
      </c>
      <c r="H17" s="307">
        <f>HLOOKUP($A17,'Single Family (2)'!$C$6:$N$79,H$5,FALSE)</f>
        <v>102.494</v>
      </c>
      <c r="I17" s="307">
        <f>HLOOKUP($A17,'Single Family (2)'!$C$6:$N$79,I$5,FALSE)</f>
        <v>108.983</v>
      </c>
      <c r="J17" s="307">
        <f>HLOOKUP($A17,'Single Family (2)'!$C$6:$N$79,J$5,FALSE)</f>
        <v>108.983</v>
      </c>
      <c r="K17" s="307">
        <f>HLOOKUP($A17,'Single Family (2)'!$C$6:$N$79,K$5,FALSE)</f>
        <v>156.905</v>
      </c>
      <c r="L17" s="311">
        <f>HLOOKUP($A17,'Single Family (2)'!$C$6:$N$79,L$5,FALSE)</f>
        <v>-134.59</v>
      </c>
      <c r="M17" s="306"/>
    </row>
    <row r="18" spans="1:14" x14ac:dyDescent="0.2">
      <c r="A18" s="313">
        <f>+'Commodity Tonnages (2)'!A18</f>
        <v>42855</v>
      </c>
      <c r="B18" s="305"/>
      <c r="C18" s="307">
        <f>HLOOKUP($A18,'Single Family (2)'!$C$6:$N$79,C$5,FALSE)</f>
        <v>947.87</v>
      </c>
      <c r="D18" s="311">
        <f>HLOOKUP($A18,'Single Family (2)'!$C$6:$N$79,D$5,FALSE)</f>
        <v>-10.45</v>
      </c>
      <c r="E18" s="311">
        <f>HLOOKUP($A18,'Single Family (2)'!$C$6:$N$79,E$5,FALSE)</f>
        <v>-134.59</v>
      </c>
      <c r="F18" s="307">
        <f>HLOOKUP($A18,'Single Family (2)'!$C$6:$N$79,F$5,FALSE)</f>
        <v>77.78</v>
      </c>
      <c r="G18" s="307">
        <f>HLOOKUP($A18,'Single Family (2)'!$C$6:$N$79,G$5,FALSE)</f>
        <v>61.02</v>
      </c>
      <c r="H18" s="307">
        <f>HLOOKUP($A18,'Single Family (2)'!$C$6:$N$79,H$5,FALSE)</f>
        <v>54.15</v>
      </c>
      <c r="I18" s="307">
        <f>HLOOKUP($A18,'Single Family (2)'!$C$6:$N$79,I$5,FALSE)</f>
        <v>100.86</v>
      </c>
      <c r="J18" s="307">
        <f>HLOOKUP($A18,'Single Family (2)'!$C$6:$N$79,J$5,FALSE)</f>
        <v>100.86</v>
      </c>
      <c r="K18" s="307">
        <f>HLOOKUP($A18,'Single Family (2)'!$C$6:$N$79,K$5,FALSE)</f>
        <v>118.99</v>
      </c>
      <c r="L18" s="311">
        <f>HLOOKUP($A18,'Single Family (2)'!$C$6:$N$79,L$5,FALSE)</f>
        <v>-134.59</v>
      </c>
      <c r="M18" s="306"/>
    </row>
    <row r="19" spans="1:14" x14ac:dyDescent="0.2">
      <c r="A19" s="305"/>
      <c r="B19" s="305"/>
      <c r="C19" s="306"/>
      <c r="D19" s="306"/>
      <c r="E19" s="306"/>
      <c r="F19" s="306"/>
      <c r="G19" s="306"/>
      <c r="H19" s="306"/>
      <c r="I19" s="306"/>
      <c r="J19" s="306"/>
      <c r="K19" s="306"/>
      <c r="L19" s="305"/>
      <c r="M19" s="306"/>
    </row>
    <row r="20" spans="1:14" x14ac:dyDescent="0.2">
      <c r="A20" s="310"/>
      <c r="B20" s="305"/>
      <c r="C20" s="306"/>
      <c r="D20" s="306"/>
      <c r="E20" s="306"/>
      <c r="F20" s="306"/>
      <c r="G20" s="306"/>
      <c r="H20" s="306"/>
      <c r="I20" s="306"/>
      <c r="J20" s="306"/>
      <c r="K20" s="306"/>
      <c r="L20" s="306"/>
      <c r="M20" s="306"/>
      <c r="N20" s="306" t="s">
        <v>31</v>
      </c>
    </row>
    <row r="21" spans="1:14" x14ac:dyDescent="0.2">
      <c r="A21" s="305"/>
      <c r="B21" s="305"/>
      <c r="C21" s="305"/>
      <c r="D21" s="305"/>
      <c r="E21" s="305"/>
      <c r="F21" s="305"/>
      <c r="G21" s="305"/>
      <c r="H21" s="305"/>
      <c r="I21" s="305"/>
      <c r="J21" s="305"/>
      <c r="K21" s="305"/>
      <c r="L21" s="305"/>
      <c r="M21" s="306"/>
    </row>
    <row r="22" spans="1:14" x14ac:dyDescent="0.2">
      <c r="A22" s="305"/>
      <c r="B22" s="305"/>
      <c r="C22" s="305"/>
      <c r="D22" s="305"/>
      <c r="E22" s="305"/>
      <c r="F22" s="305"/>
      <c r="G22" s="305"/>
      <c r="H22" s="305"/>
      <c r="I22" s="305"/>
      <c r="J22" s="305"/>
      <c r="K22" s="305"/>
      <c r="L22" s="305"/>
      <c r="M22" s="306"/>
    </row>
    <row r="23" spans="1:14" x14ac:dyDescent="0.2">
      <c r="A23" s="305"/>
      <c r="B23" s="305"/>
      <c r="C23" s="305"/>
      <c r="D23" s="305"/>
      <c r="E23" s="305"/>
      <c r="F23" s="305"/>
      <c r="G23" s="305"/>
      <c r="H23" s="305"/>
      <c r="I23" s="305"/>
      <c r="J23" s="305"/>
      <c r="K23" s="305"/>
      <c r="L23" s="305"/>
      <c r="M23" s="306"/>
    </row>
    <row r="24" spans="1:14" x14ac:dyDescent="0.2">
      <c r="A24" s="305"/>
      <c r="B24" s="305"/>
      <c r="C24" s="305"/>
      <c r="D24" s="305"/>
      <c r="E24" s="305"/>
      <c r="F24" s="305"/>
      <c r="G24" s="305"/>
      <c r="H24" s="305"/>
      <c r="I24" s="305"/>
      <c r="J24" s="305"/>
      <c r="K24" s="305"/>
      <c r="L24" s="305"/>
      <c r="M24" s="306"/>
    </row>
    <row r="25" spans="1:14" x14ac:dyDescent="0.2">
      <c r="A25" s="305"/>
      <c r="B25" s="305"/>
      <c r="C25" s="305"/>
      <c r="D25" s="305"/>
      <c r="E25" s="305"/>
      <c r="F25" s="305"/>
      <c r="G25" s="305"/>
      <c r="H25" s="305"/>
      <c r="I25" s="305"/>
      <c r="J25" s="305"/>
      <c r="K25" s="305"/>
      <c r="L25" s="305"/>
      <c r="M25" s="306"/>
    </row>
    <row r="26" spans="1:14" x14ac:dyDescent="0.2">
      <c r="A26" s="305"/>
      <c r="B26" s="305"/>
      <c r="C26" s="305"/>
      <c r="D26" s="305"/>
      <c r="E26" s="305"/>
      <c r="F26" s="305"/>
      <c r="G26" s="305"/>
      <c r="H26" s="305"/>
      <c r="I26" s="305"/>
      <c r="J26" s="305"/>
      <c r="K26" s="305"/>
      <c r="L26" s="305"/>
      <c r="M26" s="306"/>
    </row>
    <row r="27" spans="1:14" x14ac:dyDescent="0.2">
      <c r="A27" s="305"/>
      <c r="B27" s="305"/>
      <c r="C27" s="305"/>
      <c r="D27" s="305"/>
      <c r="E27" s="305"/>
      <c r="F27" s="305"/>
      <c r="G27" s="305"/>
      <c r="H27" s="305"/>
      <c r="I27" s="305"/>
      <c r="J27" s="305"/>
      <c r="K27" s="305"/>
      <c r="L27" s="305"/>
      <c r="M27" s="306"/>
    </row>
    <row r="28" spans="1:14" x14ac:dyDescent="0.2">
      <c r="A28" s="305"/>
      <c r="B28" s="305"/>
      <c r="C28" s="305"/>
      <c r="D28" s="305"/>
      <c r="E28" s="305"/>
      <c r="F28" s="305"/>
      <c r="G28" s="305"/>
      <c r="H28" s="305"/>
      <c r="I28" s="305"/>
      <c r="J28" s="305"/>
      <c r="K28" s="305"/>
      <c r="L28" s="305"/>
      <c r="M28" s="306"/>
    </row>
    <row r="29" spans="1:14" x14ac:dyDescent="0.2">
      <c r="A29" s="305"/>
      <c r="B29" s="305"/>
      <c r="C29" s="305"/>
      <c r="D29" s="305"/>
      <c r="E29" s="305"/>
      <c r="F29" s="305"/>
      <c r="G29" s="305"/>
      <c r="H29" s="305"/>
      <c r="I29" s="305"/>
      <c r="J29" s="305"/>
      <c r="K29" s="305"/>
      <c r="L29" s="305"/>
      <c r="M29" s="306"/>
    </row>
    <row r="30" spans="1:14" x14ac:dyDescent="0.2">
      <c r="A30" s="305"/>
      <c r="B30" s="305"/>
      <c r="C30" s="305"/>
      <c r="D30" s="305"/>
      <c r="E30" s="305"/>
      <c r="F30" s="305"/>
      <c r="G30" s="305"/>
      <c r="H30" s="305"/>
      <c r="I30" s="305"/>
      <c r="J30" s="305"/>
      <c r="K30" s="305"/>
      <c r="L30" s="305"/>
      <c r="M30" s="306"/>
    </row>
    <row r="31" spans="1:14" x14ac:dyDescent="0.2">
      <c r="A31" s="305"/>
      <c r="B31" s="305"/>
      <c r="C31" s="305"/>
      <c r="D31" s="305"/>
      <c r="E31" s="305"/>
      <c r="F31" s="305"/>
      <c r="G31" s="305"/>
      <c r="H31" s="305"/>
      <c r="I31" s="305"/>
      <c r="J31" s="305"/>
      <c r="K31" s="305"/>
      <c r="L31" s="305"/>
      <c r="M31" s="305"/>
    </row>
    <row r="32" spans="1:14" x14ac:dyDescent="0.2">
      <c r="A32" s="305"/>
      <c r="B32" s="305"/>
      <c r="C32" s="305"/>
      <c r="D32" s="305"/>
      <c r="E32" s="305"/>
      <c r="F32" s="305"/>
      <c r="G32" s="305"/>
      <c r="H32" s="305"/>
      <c r="I32" s="305"/>
      <c r="J32" s="305"/>
      <c r="K32" s="305"/>
      <c r="L32" s="305"/>
      <c r="M32" s="305"/>
    </row>
    <row r="33" spans="1:13" x14ac:dyDescent="0.2">
      <c r="A33" s="305"/>
      <c r="B33" s="305"/>
      <c r="C33" s="305"/>
      <c r="D33" s="305"/>
      <c r="E33" s="305"/>
      <c r="F33" s="305"/>
      <c r="G33" s="305"/>
      <c r="H33" s="305"/>
      <c r="I33" s="305"/>
      <c r="J33" s="305"/>
      <c r="K33" s="305"/>
      <c r="L33" s="305"/>
      <c r="M33" s="305"/>
    </row>
    <row r="34" spans="1:13" x14ac:dyDescent="0.2">
      <c r="A34" s="305"/>
      <c r="B34" s="305"/>
      <c r="C34" s="305"/>
      <c r="D34" s="305"/>
      <c r="E34" s="305"/>
      <c r="F34" s="305"/>
      <c r="G34" s="305"/>
      <c r="H34" s="305"/>
      <c r="I34" s="305"/>
      <c r="J34" s="305"/>
      <c r="K34" s="305"/>
      <c r="L34" s="305"/>
      <c r="M34" s="305"/>
    </row>
    <row r="35" spans="1:13" x14ac:dyDescent="0.2">
      <c r="A35" s="305"/>
      <c r="B35" s="305"/>
      <c r="C35" s="305"/>
      <c r="D35" s="305"/>
      <c r="E35" s="305"/>
      <c r="F35" s="305"/>
      <c r="G35" s="305"/>
      <c r="H35" s="305"/>
      <c r="I35" s="305"/>
      <c r="J35" s="305"/>
      <c r="K35" s="305"/>
      <c r="L35" s="305"/>
      <c r="M35" s="305"/>
    </row>
    <row r="36" spans="1:13" x14ac:dyDescent="0.2">
      <c r="A36" s="305"/>
      <c r="B36" s="305"/>
      <c r="C36" s="305"/>
      <c r="D36" s="305"/>
      <c r="E36" s="305"/>
      <c r="F36" s="305"/>
      <c r="G36" s="305"/>
      <c r="H36" s="305"/>
      <c r="I36" s="305"/>
      <c r="J36" s="305"/>
      <c r="K36" s="305"/>
      <c r="L36" s="305"/>
      <c r="M36" s="305"/>
    </row>
    <row r="37" spans="1:13" x14ac:dyDescent="0.2">
      <c r="A37" s="305"/>
      <c r="B37" s="305"/>
      <c r="C37" s="305"/>
      <c r="D37" s="305"/>
      <c r="E37" s="305"/>
      <c r="F37" s="305"/>
      <c r="G37" s="305"/>
      <c r="H37" s="305"/>
      <c r="I37" s="305"/>
      <c r="J37" s="305"/>
      <c r="K37" s="305"/>
      <c r="L37" s="305"/>
      <c r="M37" s="305"/>
    </row>
    <row r="38" spans="1:13" x14ac:dyDescent="0.2">
      <c r="A38" s="305"/>
      <c r="B38" s="305"/>
      <c r="C38" s="305"/>
      <c r="D38" s="305"/>
      <c r="E38" s="305"/>
      <c r="F38" s="305"/>
      <c r="G38" s="305"/>
      <c r="H38" s="305"/>
      <c r="I38" s="305"/>
      <c r="J38" s="305"/>
      <c r="K38" s="305"/>
      <c r="L38" s="305"/>
      <c r="M38" s="305"/>
    </row>
    <row r="39" spans="1:13" x14ac:dyDescent="0.2">
      <c r="A39" s="305"/>
      <c r="B39" s="305"/>
      <c r="C39" s="305"/>
      <c r="D39" s="305"/>
      <c r="E39" s="305"/>
      <c r="F39" s="305"/>
      <c r="G39" s="305"/>
      <c r="H39" s="305"/>
      <c r="I39" s="305"/>
      <c r="J39" s="305"/>
      <c r="K39" s="305"/>
      <c r="L39" s="305"/>
      <c r="M39" s="305"/>
    </row>
    <row r="40" spans="1:13" x14ac:dyDescent="0.2">
      <c r="A40" s="305"/>
      <c r="B40" s="305"/>
      <c r="C40" s="305"/>
      <c r="D40" s="305"/>
      <c r="E40" s="305"/>
      <c r="F40" s="305"/>
      <c r="G40" s="305"/>
      <c r="H40" s="305"/>
      <c r="I40" s="305"/>
      <c r="J40" s="305"/>
      <c r="K40" s="305"/>
      <c r="L40" s="305"/>
      <c r="M40" s="305"/>
    </row>
    <row r="41" spans="1:13" x14ac:dyDescent="0.2">
      <c r="A41" s="305"/>
      <c r="B41" s="305"/>
      <c r="C41" s="305"/>
      <c r="D41" s="305"/>
      <c r="E41" s="305"/>
      <c r="F41" s="305"/>
      <c r="G41" s="305"/>
      <c r="H41" s="305"/>
      <c r="I41" s="305"/>
      <c r="J41" s="305"/>
      <c r="K41" s="305"/>
      <c r="L41" s="305"/>
      <c r="M41" s="305"/>
    </row>
    <row r="42" spans="1:13" x14ac:dyDescent="0.2">
      <c r="A42" s="305"/>
      <c r="B42" s="305"/>
      <c r="C42" s="305"/>
      <c r="D42" s="305"/>
      <c r="E42" s="305"/>
      <c r="F42" s="305"/>
      <c r="G42" s="305"/>
      <c r="H42" s="305"/>
      <c r="I42" s="305"/>
      <c r="J42" s="305"/>
      <c r="K42" s="305"/>
      <c r="L42" s="305"/>
      <c r="M42" s="305"/>
    </row>
    <row r="43" spans="1:13" x14ac:dyDescent="0.2">
      <c r="A43" s="305"/>
      <c r="B43" s="305"/>
      <c r="C43" s="305"/>
      <c r="D43" s="305"/>
      <c r="E43" s="305"/>
      <c r="F43" s="305"/>
      <c r="G43" s="305"/>
      <c r="H43" s="305"/>
      <c r="I43" s="305"/>
      <c r="J43" s="305"/>
      <c r="K43" s="305"/>
      <c r="L43" s="305"/>
      <c r="M43" s="305"/>
    </row>
    <row r="44" spans="1:13" x14ac:dyDescent="0.2">
      <c r="A44" s="305"/>
      <c r="B44" s="305"/>
      <c r="C44" s="305"/>
      <c r="D44" s="305"/>
      <c r="E44" s="305"/>
      <c r="F44" s="305"/>
      <c r="G44" s="305"/>
      <c r="H44" s="305"/>
      <c r="I44" s="305"/>
      <c r="J44" s="305"/>
      <c r="K44" s="305"/>
      <c r="L44" s="305"/>
      <c r="M44" s="305"/>
    </row>
    <row r="45" spans="1:13" x14ac:dyDescent="0.2">
      <c r="A45" s="305"/>
      <c r="B45" s="305"/>
      <c r="C45" s="305"/>
      <c r="D45" s="305"/>
      <c r="E45" s="305"/>
      <c r="F45" s="305"/>
      <c r="G45" s="305"/>
      <c r="H45" s="305"/>
      <c r="I45" s="305"/>
      <c r="J45" s="305"/>
      <c r="K45" s="305"/>
      <c r="L45" s="305"/>
      <c r="M45" s="305"/>
    </row>
    <row r="46" spans="1:13" x14ac:dyDescent="0.2">
      <c r="A46" s="305"/>
      <c r="B46" s="305"/>
      <c r="C46" s="305"/>
      <c r="D46" s="305"/>
      <c r="E46" s="305"/>
      <c r="F46" s="305"/>
      <c r="G46" s="305"/>
      <c r="H46" s="305"/>
      <c r="I46" s="305"/>
      <c r="J46" s="305"/>
      <c r="K46" s="305"/>
      <c r="L46" s="305"/>
      <c r="M46" s="305"/>
    </row>
    <row r="47" spans="1:13" x14ac:dyDescent="0.2">
      <c r="A47" s="305"/>
      <c r="B47" s="305"/>
      <c r="C47" s="305"/>
      <c r="D47" s="305"/>
      <c r="E47" s="305"/>
      <c r="F47" s="305"/>
      <c r="G47" s="305"/>
      <c r="H47" s="305"/>
      <c r="I47" s="305"/>
      <c r="J47" s="305"/>
      <c r="K47" s="305"/>
      <c r="L47" s="305"/>
      <c r="M47" s="305"/>
    </row>
    <row r="48" spans="1:13" x14ac:dyDescent="0.2">
      <c r="A48" s="305"/>
      <c r="B48" s="305"/>
      <c r="C48" s="305"/>
      <c r="D48" s="305"/>
      <c r="E48" s="305"/>
      <c r="F48" s="305"/>
      <c r="G48" s="305"/>
      <c r="H48" s="305"/>
      <c r="I48" s="305"/>
      <c r="J48" s="305"/>
      <c r="K48" s="305"/>
      <c r="L48" s="305"/>
      <c r="M48" s="305"/>
    </row>
    <row r="49" spans="1:13" x14ac:dyDescent="0.2">
      <c r="A49" s="305"/>
      <c r="B49" s="305"/>
      <c r="C49" s="305"/>
      <c r="D49" s="305"/>
      <c r="E49" s="305"/>
      <c r="F49" s="305"/>
      <c r="G49" s="305"/>
      <c r="H49" s="305"/>
      <c r="I49" s="305"/>
      <c r="J49" s="305"/>
      <c r="K49" s="305"/>
      <c r="L49" s="305"/>
      <c r="M49" s="305"/>
    </row>
    <row r="50" spans="1:13" x14ac:dyDescent="0.2">
      <c r="A50" s="305"/>
      <c r="B50" s="305"/>
      <c r="C50" s="305"/>
      <c r="D50" s="305"/>
      <c r="E50" s="305"/>
      <c r="F50" s="305"/>
      <c r="G50" s="305"/>
      <c r="H50" s="305"/>
      <c r="I50" s="305"/>
      <c r="J50" s="305"/>
      <c r="K50" s="305"/>
      <c r="L50" s="305"/>
      <c r="M50" s="305"/>
    </row>
    <row r="51" spans="1:13" x14ac:dyDescent="0.2">
      <c r="A51" s="305"/>
      <c r="B51" s="305"/>
      <c r="C51" s="305"/>
      <c r="D51" s="305"/>
      <c r="E51" s="305"/>
      <c r="F51" s="305"/>
      <c r="G51" s="305"/>
      <c r="H51" s="305"/>
      <c r="I51" s="305"/>
      <c r="J51" s="305"/>
      <c r="K51" s="305"/>
      <c r="L51" s="305"/>
      <c r="M51" s="305"/>
    </row>
    <row r="52" spans="1:13" x14ac:dyDescent="0.2">
      <c r="A52" s="305"/>
      <c r="B52" s="305"/>
      <c r="C52" s="305"/>
      <c r="D52" s="305"/>
      <c r="E52" s="305"/>
      <c r="F52" s="305"/>
      <c r="G52" s="305"/>
      <c r="H52" s="305"/>
      <c r="I52" s="305"/>
      <c r="J52" s="305"/>
      <c r="K52" s="305"/>
      <c r="L52" s="305"/>
      <c r="M52" s="305"/>
    </row>
    <row r="53" spans="1:13" x14ac:dyDescent="0.2">
      <c r="A53" s="305"/>
      <c r="B53" s="305"/>
      <c r="C53" s="305"/>
      <c r="D53" s="305"/>
      <c r="E53" s="305"/>
      <c r="F53" s="305"/>
      <c r="G53" s="305"/>
      <c r="H53" s="305"/>
      <c r="I53" s="305"/>
      <c r="J53" s="305"/>
      <c r="K53" s="305"/>
      <c r="L53" s="305"/>
      <c r="M53" s="305"/>
    </row>
    <row r="54" spans="1:13" x14ac:dyDescent="0.2">
      <c r="A54" s="305"/>
      <c r="B54" s="305"/>
      <c r="C54" s="305"/>
      <c r="D54" s="305"/>
      <c r="E54" s="305"/>
      <c r="F54" s="305"/>
      <c r="G54" s="305"/>
      <c r="H54" s="305"/>
      <c r="I54" s="305"/>
      <c r="J54" s="305"/>
      <c r="K54" s="305"/>
      <c r="L54" s="305"/>
      <c r="M54" s="305"/>
    </row>
    <row r="55" spans="1:13" x14ac:dyDescent="0.2">
      <c r="A55" s="305"/>
      <c r="B55" s="305"/>
      <c r="C55" s="305"/>
      <c r="D55" s="305"/>
      <c r="E55" s="305"/>
      <c r="F55" s="305"/>
      <c r="G55" s="305"/>
      <c r="H55" s="305"/>
      <c r="I55" s="305"/>
      <c r="J55" s="305"/>
      <c r="K55" s="305"/>
      <c r="L55" s="305"/>
      <c r="M55" s="305"/>
    </row>
    <row r="56" spans="1:13" x14ac:dyDescent="0.2">
      <c r="A56" s="305"/>
      <c r="B56" s="305"/>
      <c r="C56" s="305"/>
      <c r="D56" s="305"/>
      <c r="E56" s="305"/>
      <c r="F56" s="305"/>
      <c r="G56" s="305"/>
      <c r="H56" s="305"/>
      <c r="I56" s="305"/>
      <c r="J56" s="305"/>
      <c r="K56" s="305"/>
      <c r="L56" s="305"/>
      <c r="M56" s="305"/>
    </row>
    <row r="57" spans="1:13" x14ac:dyDescent="0.2">
      <c r="A57" s="305"/>
      <c r="B57" s="305"/>
      <c r="C57" s="305"/>
      <c r="D57" s="305"/>
      <c r="E57" s="305"/>
      <c r="F57" s="305"/>
      <c r="G57" s="305"/>
      <c r="H57" s="305"/>
      <c r="I57" s="305"/>
      <c r="J57" s="305"/>
      <c r="K57" s="305"/>
      <c r="L57" s="305"/>
      <c r="M57" s="305"/>
    </row>
    <row r="58" spans="1:13" x14ac:dyDescent="0.2">
      <c r="A58" s="305"/>
      <c r="B58" s="305"/>
      <c r="C58" s="305"/>
      <c r="D58" s="305"/>
      <c r="E58" s="305"/>
      <c r="F58" s="305"/>
      <c r="G58" s="305"/>
      <c r="H58" s="305"/>
      <c r="I58" s="305"/>
      <c r="J58" s="305"/>
      <c r="K58" s="305"/>
      <c r="L58" s="305"/>
      <c r="M58" s="305"/>
    </row>
    <row r="59" spans="1:13" x14ac:dyDescent="0.2">
      <c r="A59" s="305"/>
      <c r="B59" s="305"/>
      <c r="C59" s="305"/>
      <c r="D59" s="305"/>
      <c r="E59" s="305"/>
      <c r="F59" s="305"/>
      <c r="G59" s="305"/>
      <c r="H59" s="305"/>
      <c r="I59" s="305"/>
      <c r="J59" s="305"/>
      <c r="K59" s="305"/>
      <c r="L59" s="305"/>
      <c r="M59" s="305"/>
    </row>
    <row r="60" spans="1:13" x14ac:dyDescent="0.2">
      <c r="A60" s="305"/>
      <c r="B60" s="305"/>
      <c r="C60" s="305"/>
      <c r="D60" s="305"/>
      <c r="E60" s="305"/>
      <c r="F60" s="305"/>
      <c r="G60" s="305"/>
      <c r="H60" s="305"/>
      <c r="I60" s="305"/>
      <c r="J60" s="305"/>
      <c r="K60" s="305"/>
      <c r="L60" s="305"/>
      <c r="M60" s="305"/>
    </row>
    <row r="61" spans="1:13" x14ac:dyDescent="0.2">
      <c r="A61" s="305"/>
      <c r="B61" s="305"/>
      <c r="C61" s="305"/>
      <c r="D61" s="305"/>
      <c r="E61" s="305"/>
      <c r="F61" s="305"/>
      <c r="G61" s="305"/>
      <c r="H61" s="305"/>
      <c r="I61" s="305"/>
      <c r="J61" s="305"/>
      <c r="K61" s="305"/>
      <c r="L61" s="305"/>
      <c r="M61" s="305"/>
    </row>
    <row r="62" spans="1:13" x14ac:dyDescent="0.2">
      <c r="A62" s="305"/>
      <c r="B62" s="305"/>
      <c r="C62" s="305"/>
      <c r="D62" s="305"/>
      <c r="E62" s="305"/>
      <c r="F62" s="305"/>
      <c r="G62" s="305"/>
      <c r="H62" s="305"/>
      <c r="I62" s="305"/>
      <c r="J62" s="305"/>
      <c r="K62" s="305"/>
      <c r="L62" s="305"/>
      <c r="M62" s="305"/>
    </row>
    <row r="63" spans="1:13" x14ac:dyDescent="0.2">
      <c r="A63" s="305"/>
      <c r="B63" s="305"/>
      <c r="C63" s="305"/>
      <c r="D63" s="305"/>
      <c r="E63" s="305"/>
      <c r="F63" s="305"/>
      <c r="G63" s="305"/>
      <c r="H63" s="305"/>
      <c r="I63" s="305"/>
      <c r="J63" s="305"/>
      <c r="K63" s="305"/>
      <c r="L63" s="305"/>
      <c r="M63" s="305"/>
    </row>
    <row r="64" spans="1:13" x14ac:dyDescent="0.2">
      <c r="A64" s="305"/>
      <c r="B64" s="305"/>
      <c r="C64" s="305"/>
      <c r="D64" s="305"/>
      <c r="E64" s="305"/>
      <c r="F64" s="305"/>
      <c r="G64" s="305"/>
      <c r="H64" s="305"/>
      <c r="I64" s="305"/>
      <c r="J64" s="305"/>
      <c r="K64" s="305"/>
      <c r="L64" s="305"/>
      <c r="M64" s="305"/>
    </row>
    <row r="65" spans="1:13" x14ac:dyDescent="0.2">
      <c r="A65" s="305"/>
      <c r="B65" s="305"/>
      <c r="C65" s="305"/>
      <c r="D65" s="305"/>
      <c r="E65" s="305"/>
      <c r="F65" s="305"/>
      <c r="G65" s="305"/>
      <c r="H65" s="305"/>
      <c r="I65" s="305"/>
      <c r="J65" s="305"/>
      <c r="K65" s="305"/>
      <c r="L65" s="305"/>
      <c r="M65" s="305"/>
    </row>
    <row r="66" spans="1:13" x14ac:dyDescent="0.2">
      <c r="A66" s="305"/>
      <c r="B66" s="305"/>
      <c r="C66" s="305"/>
      <c r="D66" s="305"/>
      <c r="E66" s="305"/>
      <c r="F66" s="305"/>
      <c r="G66" s="305"/>
      <c r="H66" s="305"/>
      <c r="I66" s="305"/>
      <c r="J66" s="305"/>
      <c r="K66" s="305"/>
      <c r="L66" s="305"/>
      <c r="M66" s="305"/>
    </row>
    <row r="67" spans="1:13" x14ac:dyDescent="0.2">
      <c r="A67" s="305"/>
      <c r="B67" s="305"/>
      <c r="C67" s="305"/>
      <c r="D67" s="305"/>
      <c r="E67" s="305"/>
      <c r="F67" s="305"/>
      <c r="G67" s="305"/>
      <c r="H67" s="305"/>
      <c r="I67" s="305"/>
      <c r="J67" s="305"/>
      <c r="K67" s="305"/>
      <c r="L67" s="305"/>
      <c r="M67" s="305"/>
    </row>
    <row r="68" spans="1:13" x14ac:dyDescent="0.2">
      <c r="A68" s="305"/>
      <c r="B68" s="305"/>
      <c r="C68" s="305"/>
      <c r="D68" s="305"/>
      <c r="E68" s="305"/>
      <c r="F68" s="305"/>
      <c r="G68" s="305"/>
      <c r="H68" s="305"/>
      <c r="I68" s="305"/>
      <c r="J68" s="305"/>
      <c r="K68" s="305"/>
      <c r="L68" s="305"/>
      <c r="M68" s="305"/>
    </row>
    <row r="69" spans="1:13" x14ac:dyDescent="0.2">
      <c r="A69" s="305"/>
      <c r="B69" s="305"/>
      <c r="C69" s="305"/>
      <c r="D69" s="305"/>
      <c r="E69" s="305"/>
      <c r="F69" s="305"/>
      <c r="G69" s="305"/>
      <c r="H69" s="305"/>
      <c r="I69" s="305"/>
      <c r="J69" s="305"/>
      <c r="K69" s="305"/>
      <c r="L69" s="305"/>
      <c r="M69" s="305"/>
    </row>
    <row r="70" spans="1:13" x14ac:dyDescent="0.2">
      <c r="A70" s="305"/>
      <c r="B70" s="305"/>
      <c r="C70" s="305"/>
      <c r="D70" s="305"/>
      <c r="E70" s="305"/>
      <c r="F70" s="305"/>
      <c r="G70" s="305"/>
      <c r="H70" s="305"/>
      <c r="I70" s="305"/>
      <c r="J70" s="305"/>
      <c r="K70" s="305"/>
      <c r="L70" s="305"/>
      <c r="M70" s="305"/>
    </row>
    <row r="71" spans="1:13" x14ac:dyDescent="0.2">
      <c r="A71" s="305"/>
      <c r="B71" s="305"/>
      <c r="C71" s="305"/>
      <c r="D71" s="305"/>
      <c r="E71" s="305"/>
      <c r="F71" s="305"/>
      <c r="G71" s="305"/>
      <c r="H71" s="305"/>
      <c r="I71" s="305"/>
      <c r="J71" s="305"/>
      <c r="K71" s="305"/>
      <c r="L71" s="305"/>
      <c r="M71" s="305"/>
    </row>
    <row r="72" spans="1:13" x14ac:dyDescent="0.2">
      <c r="A72" s="305"/>
      <c r="B72" s="305"/>
      <c r="C72" s="305"/>
      <c r="D72" s="305"/>
      <c r="E72" s="305"/>
      <c r="F72" s="305"/>
      <c r="G72" s="305"/>
      <c r="H72" s="305"/>
      <c r="I72" s="305"/>
      <c r="J72" s="305"/>
      <c r="K72" s="305"/>
      <c r="L72" s="305"/>
      <c r="M72" s="305"/>
    </row>
    <row r="73" spans="1:13" x14ac:dyDescent="0.2">
      <c r="A73" s="305"/>
      <c r="B73" s="305"/>
      <c r="C73" s="305"/>
      <c r="D73" s="305"/>
      <c r="E73" s="305"/>
      <c r="F73" s="305"/>
      <c r="G73" s="305"/>
      <c r="H73" s="305"/>
      <c r="I73" s="305"/>
      <c r="J73" s="305"/>
      <c r="K73" s="305"/>
      <c r="L73" s="305"/>
      <c r="M73" s="305"/>
    </row>
    <row r="74" spans="1:13" x14ac:dyDescent="0.2">
      <c r="A74" s="305"/>
      <c r="B74" s="305"/>
      <c r="C74" s="305"/>
      <c r="D74" s="305"/>
      <c r="E74" s="305"/>
      <c r="F74" s="305"/>
      <c r="G74" s="305"/>
      <c r="H74" s="305"/>
      <c r="I74" s="305"/>
      <c r="J74" s="305"/>
      <c r="K74" s="305"/>
      <c r="L74" s="305"/>
      <c r="M74" s="305"/>
    </row>
    <row r="75" spans="1:13" x14ac:dyDescent="0.2">
      <c r="A75" s="305"/>
      <c r="B75" s="305"/>
      <c r="C75" s="305"/>
      <c r="D75" s="305"/>
      <c r="E75" s="305"/>
      <c r="F75" s="305"/>
      <c r="G75" s="305"/>
      <c r="H75" s="305"/>
      <c r="I75" s="305"/>
      <c r="J75" s="305"/>
      <c r="K75" s="305"/>
      <c r="L75" s="305"/>
      <c r="M75" s="305"/>
    </row>
    <row r="76" spans="1:13" x14ac:dyDescent="0.2">
      <c r="A76" s="305"/>
      <c r="B76" s="305"/>
      <c r="C76" s="305"/>
      <c r="D76" s="305"/>
      <c r="E76" s="305"/>
      <c r="F76" s="305"/>
      <c r="G76" s="305"/>
      <c r="H76" s="305"/>
      <c r="I76" s="305"/>
      <c r="J76" s="305"/>
      <c r="K76" s="305"/>
      <c r="L76" s="305"/>
      <c r="M76" s="305"/>
    </row>
    <row r="77" spans="1:13" x14ac:dyDescent="0.2">
      <c r="A77" s="305"/>
      <c r="B77" s="305"/>
      <c r="C77" s="305"/>
      <c r="D77" s="305"/>
      <c r="E77" s="305"/>
      <c r="F77" s="305"/>
      <c r="G77" s="305"/>
      <c r="H77" s="305"/>
      <c r="I77" s="305"/>
      <c r="J77" s="305"/>
      <c r="K77" s="305"/>
      <c r="L77" s="305"/>
      <c r="M77" s="305"/>
    </row>
    <row r="78" spans="1:13" x14ac:dyDescent="0.2">
      <c r="A78" s="305"/>
      <c r="B78" s="305"/>
      <c r="C78" s="305"/>
      <c r="D78" s="305"/>
      <c r="E78" s="305"/>
      <c r="F78" s="305"/>
      <c r="G78" s="305"/>
      <c r="H78" s="305"/>
      <c r="I78" s="305"/>
      <c r="J78" s="305"/>
      <c r="K78" s="305"/>
      <c r="L78" s="305"/>
      <c r="M78" s="305"/>
    </row>
    <row r="79" spans="1:13" x14ac:dyDescent="0.2">
      <c r="A79" s="305"/>
      <c r="B79" s="305"/>
      <c r="C79" s="305"/>
      <c r="D79" s="305"/>
      <c r="E79" s="305"/>
      <c r="F79" s="305"/>
      <c r="G79" s="305"/>
      <c r="H79" s="305"/>
      <c r="I79" s="305"/>
      <c r="J79" s="305"/>
      <c r="K79" s="305"/>
      <c r="L79" s="305"/>
      <c r="M79" s="305"/>
    </row>
    <row r="80" spans="1:13" x14ac:dyDescent="0.2">
      <c r="A80" s="305"/>
      <c r="B80" s="305"/>
      <c r="C80" s="305"/>
      <c r="D80" s="305"/>
      <c r="E80" s="305"/>
      <c r="F80" s="305"/>
      <c r="G80" s="305"/>
      <c r="H80" s="305"/>
      <c r="I80" s="305"/>
      <c r="J80" s="305"/>
      <c r="K80" s="305"/>
      <c r="L80" s="305"/>
      <c r="M80" s="305"/>
    </row>
    <row r="81" spans="1:13" x14ac:dyDescent="0.2">
      <c r="A81" s="305"/>
      <c r="B81" s="305"/>
      <c r="C81" s="305"/>
      <c r="D81" s="305"/>
      <c r="E81" s="305"/>
      <c r="F81" s="305"/>
      <c r="G81" s="305"/>
      <c r="H81" s="305"/>
      <c r="I81" s="305"/>
      <c r="J81" s="305"/>
      <c r="K81" s="305"/>
      <c r="L81" s="305"/>
      <c r="M81" s="305"/>
    </row>
    <row r="82" spans="1:13" x14ac:dyDescent="0.2">
      <c r="A82" s="305"/>
      <c r="B82" s="305"/>
      <c r="C82" s="305"/>
      <c r="D82" s="305"/>
      <c r="E82" s="305"/>
      <c r="F82" s="305"/>
      <c r="G82" s="305"/>
      <c r="H82" s="305"/>
      <c r="I82" s="305"/>
      <c r="J82" s="305"/>
      <c r="K82" s="305"/>
      <c r="L82" s="305"/>
      <c r="M82" s="305"/>
    </row>
    <row r="83" spans="1:13" x14ac:dyDescent="0.2">
      <c r="A83" s="305"/>
      <c r="B83" s="305"/>
      <c r="C83" s="305"/>
      <c r="D83" s="305"/>
      <c r="E83" s="305"/>
      <c r="F83" s="305"/>
      <c r="G83" s="305"/>
      <c r="H83" s="305"/>
      <c r="I83" s="305"/>
      <c r="J83" s="305"/>
      <c r="K83" s="305"/>
      <c r="L83" s="305"/>
      <c r="M83" s="305"/>
    </row>
    <row r="84" spans="1:13" x14ac:dyDescent="0.2">
      <c r="A84" s="305"/>
      <c r="B84" s="305"/>
      <c r="C84" s="305"/>
      <c r="D84" s="305"/>
      <c r="E84" s="305"/>
      <c r="F84" s="305"/>
      <c r="G84" s="305"/>
      <c r="H84" s="305"/>
      <c r="I84" s="305"/>
      <c r="J84" s="305"/>
      <c r="K84" s="305"/>
      <c r="L84" s="305"/>
      <c r="M84" s="305"/>
    </row>
    <row r="85" spans="1:13" x14ac:dyDescent="0.2">
      <c r="A85" s="305"/>
      <c r="B85" s="305"/>
      <c r="C85" s="305"/>
      <c r="D85" s="305"/>
      <c r="E85" s="305"/>
      <c r="F85" s="305"/>
      <c r="G85" s="305"/>
      <c r="H85" s="305"/>
      <c r="I85" s="305"/>
      <c r="J85" s="305"/>
      <c r="K85" s="305"/>
      <c r="L85" s="305"/>
      <c r="M85" s="305"/>
    </row>
    <row r="86" spans="1:13" x14ac:dyDescent="0.2">
      <c r="A86" s="305"/>
      <c r="B86" s="305"/>
      <c r="C86" s="305"/>
      <c r="D86" s="305"/>
      <c r="E86" s="305"/>
      <c r="F86" s="305"/>
      <c r="G86" s="305"/>
      <c r="H86" s="305"/>
      <c r="I86" s="305"/>
      <c r="J86" s="305"/>
      <c r="K86" s="305"/>
      <c r="L86" s="305"/>
      <c r="M86" s="305"/>
    </row>
    <row r="87" spans="1:13" x14ac:dyDescent="0.2">
      <c r="A87" s="305"/>
      <c r="B87" s="305"/>
      <c r="C87" s="305"/>
      <c r="D87" s="305"/>
      <c r="E87" s="305"/>
      <c r="F87" s="305"/>
      <c r="G87" s="305"/>
      <c r="H87" s="305"/>
      <c r="I87" s="305"/>
      <c r="J87" s="305"/>
      <c r="K87" s="305"/>
      <c r="L87" s="305"/>
      <c r="M87" s="305"/>
    </row>
    <row r="88" spans="1:13" x14ac:dyDescent="0.2">
      <c r="A88" s="305"/>
      <c r="B88" s="305"/>
      <c r="C88" s="305"/>
      <c r="D88" s="305"/>
      <c r="E88" s="305"/>
      <c r="F88" s="305"/>
      <c r="G88" s="305"/>
      <c r="H88" s="305"/>
      <c r="I88" s="305"/>
      <c r="J88" s="305"/>
      <c r="K88" s="305"/>
      <c r="L88" s="305"/>
      <c r="M88" s="305"/>
    </row>
    <row r="89" spans="1:13" x14ac:dyDescent="0.2">
      <c r="A89" s="305"/>
      <c r="B89" s="305"/>
      <c r="C89" s="305"/>
      <c r="D89" s="305"/>
      <c r="E89" s="305"/>
      <c r="F89" s="305"/>
      <c r="G89" s="305"/>
      <c r="H89" s="305"/>
      <c r="I89" s="305"/>
      <c r="J89" s="305"/>
      <c r="K89" s="305"/>
      <c r="L89" s="305"/>
      <c r="M89" s="305"/>
    </row>
    <row r="90" spans="1:13" x14ac:dyDescent="0.2">
      <c r="A90" s="305"/>
      <c r="B90" s="305"/>
      <c r="C90" s="305"/>
      <c r="D90" s="305"/>
      <c r="E90" s="305"/>
      <c r="F90" s="305"/>
      <c r="G90" s="305"/>
      <c r="H90" s="305"/>
      <c r="I90" s="305"/>
      <c r="J90" s="305"/>
      <c r="K90" s="305"/>
      <c r="L90" s="305"/>
      <c r="M90" s="305"/>
    </row>
    <row r="91" spans="1:13" x14ac:dyDescent="0.2">
      <c r="A91" s="305"/>
      <c r="B91" s="305"/>
      <c r="C91" s="305"/>
      <c r="D91" s="305"/>
      <c r="E91" s="305"/>
      <c r="F91" s="305"/>
      <c r="G91" s="305"/>
      <c r="H91" s="305"/>
      <c r="I91" s="305"/>
      <c r="J91" s="305"/>
      <c r="K91" s="305"/>
      <c r="L91" s="305"/>
      <c r="M91" s="305"/>
    </row>
    <row r="92" spans="1:13" x14ac:dyDescent="0.2">
      <c r="A92" s="305"/>
      <c r="B92" s="305"/>
      <c r="C92" s="305"/>
      <c r="D92" s="305"/>
      <c r="E92" s="305"/>
      <c r="F92" s="305"/>
      <c r="G92" s="305"/>
      <c r="H92" s="305"/>
      <c r="I92" s="305"/>
      <c r="J92" s="305"/>
      <c r="K92" s="305"/>
      <c r="L92" s="305"/>
      <c r="M92" s="305"/>
    </row>
    <row r="93" spans="1:13" x14ac:dyDescent="0.2">
      <c r="A93" s="305"/>
      <c r="B93" s="305"/>
      <c r="C93" s="305"/>
      <c r="D93" s="305"/>
      <c r="E93" s="305"/>
      <c r="F93" s="305"/>
      <c r="G93" s="305"/>
      <c r="H93" s="305"/>
      <c r="I93" s="305"/>
      <c r="J93" s="305"/>
      <c r="K93" s="305"/>
      <c r="L93" s="305"/>
      <c r="M93" s="305"/>
    </row>
    <row r="94" spans="1:13" x14ac:dyDescent="0.2">
      <c r="A94" s="305"/>
      <c r="B94" s="305"/>
      <c r="C94" s="305"/>
      <c r="D94" s="305"/>
      <c r="E94" s="305"/>
      <c r="F94" s="305"/>
      <c r="G94" s="305"/>
      <c r="H94" s="305"/>
      <c r="I94" s="305"/>
      <c r="J94" s="305"/>
      <c r="K94" s="305"/>
      <c r="L94" s="305"/>
      <c r="M94" s="305"/>
    </row>
    <row r="95" spans="1:13" x14ac:dyDescent="0.2">
      <c r="A95" s="305"/>
      <c r="B95" s="305"/>
      <c r="C95" s="305"/>
      <c r="D95" s="305"/>
      <c r="E95" s="305"/>
      <c r="F95" s="305"/>
      <c r="G95" s="305"/>
      <c r="H95" s="305"/>
      <c r="I95" s="305"/>
      <c r="J95" s="305"/>
      <c r="K95" s="305"/>
      <c r="L95" s="305"/>
      <c r="M95" s="305"/>
    </row>
    <row r="96" spans="1:13" x14ac:dyDescent="0.2">
      <c r="A96" s="305"/>
      <c r="B96" s="305"/>
      <c r="C96" s="305"/>
      <c r="D96" s="305"/>
      <c r="E96" s="305"/>
      <c r="F96" s="305"/>
      <c r="G96" s="305"/>
      <c r="H96" s="305"/>
      <c r="I96" s="305"/>
      <c r="J96" s="305"/>
      <c r="K96" s="305"/>
      <c r="L96" s="305"/>
      <c r="M96" s="305"/>
    </row>
    <row r="97" spans="1:13" x14ac:dyDescent="0.2">
      <c r="A97" s="305"/>
      <c r="B97" s="305"/>
      <c r="C97" s="305"/>
      <c r="D97" s="305"/>
      <c r="E97" s="305"/>
      <c r="F97" s="305"/>
      <c r="G97" s="305"/>
      <c r="H97" s="305"/>
      <c r="I97" s="305"/>
      <c r="J97" s="305"/>
      <c r="K97" s="305"/>
      <c r="L97" s="305"/>
      <c r="M97" s="305"/>
    </row>
    <row r="98" spans="1:13" x14ac:dyDescent="0.2">
      <c r="A98" s="305"/>
      <c r="B98" s="305"/>
      <c r="C98" s="305"/>
      <c r="D98" s="305"/>
      <c r="E98" s="305"/>
      <c r="F98" s="305"/>
      <c r="G98" s="305"/>
      <c r="H98" s="305"/>
      <c r="I98" s="305"/>
      <c r="J98" s="305"/>
      <c r="K98" s="305"/>
      <c r="L98" s="305"/>
      <c r="M98" s="305"/>
    </row>
    <row r="99" spans="1:13" x14ac:dyDescent="0.2">
      <c r="A99" s="305"/>
      <c r="B99" s="305"/>
      <c r="C99" s="305"/>
      <c r="D99" s="305"/>
      <c r="E99" s="305"/>
      <c r="F99" s="305"/>
      <c r="G99" s="305"/>
      <c r="H99" s="305"/>
      <c r="I99" s="305"/>
      <c r="J99" s="305"/>
      <c r="K99" s="305"/>
      <c r="L99" s="305"/>
      <c r="M99" s="305"/>
    </row>
    <row r="100" spans="1:13" x14ac:dyDescent="0.2">
      <c r="A100" s="305"/>
      <c r="B100" s="305"/>
      <c r="C100" s="305"/>
      <c r="D100" s="305"/>
      <c r="E100" s="305"/>
      <c r="F100" s="305"/>
      <c r="G100" s="305"/>
      <c r="H100" s="305"/>
      <c r="I100" s="305"/>
      <c r="J100" s="305"/>
      <c r="K100" s="305"/>
      <c r="L100" s="305"/>
      <c r="M100" s="305"/>
    </row>
    <row r="101" spans="1:13" x14ac:dyDescent="0.2">
      <c r="A101" s="305"/>
      <c r="B101" s="305"/>
      <c r="C101" s="305"/>
      <c r="D101" s="305"/>
      <c r="E101" s="305"/>
      <c r="F101" s="305"/>
      <c r="G101" s="305"/>
      <c r="H101" s="305"/>
      <c r="I101" s="305"/>
      <c r="J101" s="305"/>
      <c r="K101" s="305"/>
      <c r="L101" s="305"/>
      <c r="M101" s="305"/>
    </row>
    <row r="102" spans="1:13" x14ac:dyDescent="0.2">
      <c r="A102" s="305"/>
      <c r="B102" s="305"/>
      <c r="C102" s="305"/>
      <c r="D102" s="305"/>
      <c r="E102" s="305"/>
      <c r="F102" s="305"/>
      <c r="G102" s="305"/>
      <c r="H102" s="305"/>
      <c r="I102" s="305"/>
      <c r="J102" s="305"/>
      <c r="K102" s="305"/>
      <c r="L102" s="305"/>
      <c r="M102" s="305"/>
    </row>
    <row r="103" spans="1:13" x14ac:dyDescent="0.2">
      <c r="A103" s="305"/>
      <c r="B103" s="305"/>
      <c r="C103" s="305"/>
      <c r="D103" s="305"/>
      <c r="E103" s="305"/>
      <c r="F103" s="305"/>
      <c r="G103" s="305"/>
      <c r="H103" s="305"/>
      <c r="I103" s="305"/>
      <c r="J103" s="305"/>
      <c r="K103" s="305"/>
      <c r="L103" s="305"/>
      <c r="M103" s="305"/>
    </row>
    <row r="104" spans="1:13" x14ac:dyDescent="0.2">
      <c r="A104" s="305"/>
      <c r="B104" s="305"/>
      <c r="C104" s="305"/>
      <c r="D104" s="305"/>
      <c r="E104" s="305"/>
      <c r="F104" s="305"/>
      <c r="G104" s="305"/>
      <c r="H104" s="305"/>
      <c r="I104" s="305"/>
      <c r="J104" s="305"/>
      <c r="K104" s="305"/>
      <c r="L104" s="305"/>
      <c r="M104" s="305"/>
    </row>
    <row r="105" spans="1:13" x14ac:dyDescent="0.2">
      <c r="A105" s="305"/>
      <c r="B105" s="305"/>
      <c r="C105" s="305"/>
      <c r="D105" s="305"/>
      <c r="E105" s="305"/>
      <c r="F105" s="305"/>
      <c r="G105" s="305"/>
      <c r="H105" s="305"/>
      <c r="I105" s="305"/>
      <c r="J105" s="305"/>
      <c r="K105" s="305"/>
      <c r="L105" s="305"/>
      <c r="M105" s="305"/>
    </row>
    <row r="106" spans="1:13" x14ac:dyDescent="0.2">
      <c r="A106" s="305"/>
      <c r="B106" s="305"/>
      <c r="C106" s="305"/>
      <c r="D106" s="305"/>
      <c r="E106" s="305"/>
      <c r="F106" s="305"/>
      <c r="G106" s="305"/>
      <c r="H106" s="305"/>
      <c r="I106" s="305"/>
      <c r="J106" s="305"/>
      <c r="K106" s="305"/>
      <c r="L106" s="305"/>
      <c r="M106" s="305"/>
    </row>
    <row r="107" spans="1:13" x14ac:dyDescent="0.2">
      <c r="A107" s="305"/>
      <c r="B107" s="305"/>
      <c r="C107" s="305"/>
      <c r="D107" s="305"/>
      <c r="E107" s="305"/>
      <c r="F107" s="305"/>
      <c r="G107" s="305"/>
      <c r="H107" s="305"/>
      <c r="I107" s="305"/>
      <c r="J107" s="305"/>
      <c r="K107" s="305"/>
      <c r="L107" s="305"/>
      <c r="M107" s="305"/>
    </row>
    <row r="108" spans="1:13" x14ac:dyDescent="0.2">
      <c r="A108" s="305"/>
      <c r="B108" s="305"/>
      <c r="C108" s="305"/>
      <c r="D108" s="305"/>
      <c r="E108" s="305"/>
      <c r="F108" s="305"/>
      <c r="G108" s="305"/>
      <c r="H108" s="305"/>
      <c r="I108" s="305"/>
      <c r="J108" s="305"/>
      <c r="K108" s="305"/>
      <c r="L108" s="305"/>
      <c r="M108" s="305"/>
    </row>
    <row r="109" spans="1:13" x14ac:dyDescent="0.2">
      <c r="A109" s="305"/>
      <c r="B109" s="305"/>
      <c r="C109" s="305"/>
      <c r="D109" s="305"/>
      <c r="E109" s="305"/>
      <c r="F109" s="305"/>
      <c r="G109" s="305"/>
      <c r="H109" s="305"/>
      <c r="I109" s="305"/>
      <c r="J109" s="305"/>
      <c r="K109" s="305"/>
      <c r="L109" s="305"/>
      <c r="M109" s="305"/>
    </row>
    <row r="110" spans="1:13" x14ac:dyDescent="0.2">
      <c r="A110" s="305"/>
      <c r="B110" s="305"/>
      <c r="C110" s="305"/>
      <c r="D110" s="305"/>
      <c r="E110" s="305"/>
      <c r="F110" s="305"/>
      <c r="G110" s="305"/>
      <c r="H110" s="305"/>
      <c r="I110" s="305"/>
      <c r="J110" s="305"/>
      <c r="K110" s="305"/>
      <c r="L110" s="305"/>
      <c r="M110" s="305"/>
    </row>
    <row r="111" spans="1:13" x14ac:dyDescent="0.2">
      <c r="A111" s="305"/>
      <c r="B111" s="305"/>
      <c r="C111" s="305"/>
      <c r="D111" s="305"/>
      <c r="E111" s="305"/>
      <c r="F111" s="305"/>
      <c r="G111" s="305"/>
      <c r="H111" s="305"/>
      <c r="I111" s="305"/>
      <c r="J111" s="305"/>
      <c r="K111" s="305"/>
      <c r="L111" s="305"/>
      <c r="M111" s="305"/>
    </row>
    <row r="112" spans="1:13" x14ac:dyDescent="0.2">
      <c r="A112" s="305"/>
      <c r="B112" s="305"/>
      <c r="C112" s="305"/>
      <c r="D112" s="305"/>
      <c r="E112" s="305"/>
      <c r="F112" s="305"/>
      <c r="G112" s="305"/>
      <c r="H112" s="305"/>
      <c r="I112" s="305"/>
      <c r="J112" s="305"/>
      <c r="K112" s="305"/>
      <c r="L112" s="305"/>
      <c r="M112" s="305"/>
    </row>
    <row r="113" spans="1:13" x14ac:dyDescent="0.2">
      <c r="A113" s="305"/>
      <c r="B113" s="305"/>
      <c r="C113" s="305"/>
      <c r="D113" s="305"/>
      <c r="E113" s="305"/>
      <c r="F113" s="305"/>
      <c r="G113" s="305"/>
      <c r="H113" s="305"/>
      <c r="I113" s="305"/>
      <c r="J113" s="305"/>
      <c r="K113" s="305"/>
      <c r="L113" s="305"/>
      <c r="M113" s="305"/>
    </row>
    <row r="114" spans="1:13" x14ac:dyDescent="0.2">
      <c r="A114" s="305"/>
      <c r="B114" s="305"/>
      <c r="C114" s="305"/>
      <c r="D114" s="305"/>
      <c r="E114" s="305"/>
      <c r="F114" s="305"/>
      <c r="G114" s="305"/>
      <c r="H114" s="305"/>
      <c r="I114" s="305"/>
      <c r="J114" s="305"/>
      <c r="K114" s="305"/>
      <c r="L114" s="305"/>
      <c r="M114" s="305"/>
    </row>
    <row r="115" spans="1:13" x14ac:dyDescent="0.2">
      <c r="A115" s="305"/>
      <c r="B115" s="305"/>
      <c r="C115" s="305"/>
      <c r="D115" s="305"/>
      <c r="E115" s="305"/>
      <c r="F115" s="305"/>
      <c r="G115" s="305"/>
      <c r="H115" s="305"/>
      <c r="I115" s="305"/>
      <c r="J115" s="305"/>
      <c r="K115" s="305"/>
      <c r="L115" s="305"/>
      <c r="M115" s="305"/>
    </row>
    <row r="116" spans="1:13" x14ac:dyDescent="0.2">
      <c r="A116" s="305"/>
      <c r="B116" s="305"/>
      <c r="C116" s="305"/>
      <c r="D116" s="305"/>
      <c r="E116" s="305"/>
      <c r="F116" s="305"/>
      <c r="G116" s="305"/>
      <c r="H116" s="305"/>
      <c r="I116" s="305"/>
      <c r="J116" s="305"/>
      <c r="K116" s="305"/>
      <c r="L116" s="305"/>
      <c r="M116" s="305"/>
    </row>
    <row r="117" spans="1:13" x14ac:dyDescent="0.2">
      <c r="A117" s="305"/>
      <c r="B117" s="305"/>
      <c r="C117" s="305"/>
      <c r="D117" s="305"/>
      <c r="E117" s="305"/>
      <c r="F117" s="305"/>
      <c r="G117" s="305"/>
      <c r="H117" s="305"/>
      <c r="I117" s="305"/>
      <c r="J117" s="305"/>
      <c r="K117" s="305"/>
      <c r="L117" s="305"/>
      <c r="M117" s="305"/>
    </row>
    <row r="118" spans="1:13" x14ac:dyDescent="0.2">
      <c r="A118" s="305"/>
      <c r="B118" s="305"/>
      <c r="C118" s="305"/>
      <c r="D118" s="305"/>
      <c r="E118" s="305"/>
      <c r="F118" s="305"/>
      <c r="G118" s="305"/>
      <c r="H118" s="305"/>
      <c r="I118" s="305"/>
      <c r="J118" s="305"/>
      <c r="K118" s="305"/>
      <c r="L118" s="305"/>
      <c r="M118" s="305"/>
    </row>
    <row r="119" spans="1:13" x14ac:dyDescent="0.2">
      <c r="A119" s="305"/>
      <c r="B119" s="305"/>
      <c r="C119" s="305"/>
      <c r="D119" s="305"/>
      <c r="E119" s="305"/>
      <c r="F119" s="305"/>
      <c r="G119" s="305"/>
      <c r="H119" s="305"/>
      <c r="I119" s="305"/>
      <c r="J119" s="305"/>
      <c r="K119" s="305"/>
      <c r="L119" s="305"/>
      <c r="M119" s="305"/>
    </row>
    <row r="120" spans="1:13" x14ac:dyDescent="0.2">
      <c r="A120" s="305"/>
      <c r="B120" s="305"/>
      <c r="C120" s="305"/>
      <c r="D120" s="305"/>
      <c r="E120" s="305"/>
      <c r="F120" s="305"/>
      <c r="G120" s="305"/>
      <c r="H120" s="305"/>
      <c r="I120" s="305"/>
      <c r="J120" s="305"/>
      <c r="K120" s="305"/>
      <c r="L120" s="305"/>
      <c r="M120" s="305"/>
    </row>
    <row r="121" spans="1:13" x14ac:dyDescent="0.2">
      <c r="A121" s="305"/>
      <c r="B121" s="305"/>
      <c r="C121" s="305"/>
      <c r="D121" s="305"/>
      <c r="E121" s="305"/>
      <c r="F121" s="305"/>
      <c r="G121" s="305"/>
      <c r="H121" s="305"/>
      <c r="I121" s="305"/>
      <c r="J121" s="305"/>
      <c r="K121" s="305"/>
      <c r="L121" s="305"/>
      <c r="M121" s="305"/>
    </row>
  </sheetData>
  <pageMargins left="0" right="0" top="0.5" bottom="0.5" header="0.5" footer="0.5"/>
  <pageSetup scale="87" orientation="landscape" r:id="rId1"/>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2:U102"/>
  <sheetViews>
    <sheetView zoomScaleNormal="100" workbookViewId="0">
      <pane xSplit="2" ySplit="6" topLeftCell="C76" activePane="bottomRight" state="frozen"/>
      <selection activeCell="A3" sqref="A3:IV5"/>
      <selection pane="topRight" activeCell="A3" sqref="A3:IV5"/>
      <selection pane="bottomLeft" activeCell="A3" sqref="A3:IV5"/>
      <selection pane="bottomRight" activeCell="M95" sqref="M95"/>
    </sheetView>
  </sheetViews>
  <sheetFormatPr defaultRowHeight="11.25" x14ac:dyDescent="0.2"/>
  <cols>
    <col min="1" max="1" width="6" style="305" customWidth="1"/>
    <col min="2" max="2" width="17.85546875" style="305" customWidth="1"/>
    <col min="3" max="4" width="9.85546875" style="305" customWidth="1"/>
    <col min="5" max="5" width="11.28515625" style="305" customWidth="1"/>
    <col min="6" max="7" width="9.5703125" style="305" customWidth="1"/>
    <col min="8" max="8" width="9.85546875" style="305" customWidth="1"/>
    <col min="9" max="9" width="10.42578125" style="305" customWidth="1"/>
    <col min="10" max="10" width="10.7109375" style="305" customWidth="1"/>
    <col min="11" max="14" width="9.140625" style="305"/>
    <col min="15" max="15" width="10.7109375" style="305" bestFit="1" customWidth="1"/>
    <col min="16" max="16" width="12.28515625" style="305" bestFit="1" customWidth="1"/>
    <col min="17" max="17" width="9.85546875" style="305" customWidth="1"/>
    <col min="18" max="18" width="15.140625" style="305" bestFit="1" customWidth="1"/>
    <col min="19" max="16384" width="9.140625" style="305"/>
  </cols>
  <sheetData>
    <row r="2" spans="1:16" x14ac:dyDescent="0.2">
      <c r="B2" s="327" t="str">
        <f>'WUTC_KENT_SF (2)'!A1</f>
        <v>Kent-Meridian Disposal</v>
      </c>
      <c r="C2" s="349"/>
    </row>
    <row r="3" spans="1:16" x14ac:dyDescent="0.2">
      <c r="B3" s="327" t="str">
        <f>'WUTC_KENT_SF (2)'!A4</f>
        <v>Single Family</v>
      </c>
      <c r="C3" s="349"/>
    </row>
    <row r="4" spans="1:16" x14ac:dyDescent="0.2">
      <c r="C4" s="347"/>
      <c r="D4" s="347"/>
      <c r="E4" s="347"/>
      <c r="F4" s="347"/>
      <c r="G4" s="347"/>
      <c r="H4" s="348"/>
      <c r="I4" s="348"/>
      <c r="J4" s="327"/>
    </row>
    <row r="5" spans="1:16" x14ac:dyDescent="0.2">
      <c r="C5" s="347"/>
      <c r="D5" s="347"/>
      <c r="E5" s="347"/>
      <c r="F5" s="347"/>
      <c r="G5" s="347"/>
      <c r="H5" s="348"/>
      <c r="I5" s="348"/>
      <c r="J5" s="347"/>
    </row>
    <row r="6" spans="1:16" ht="9.9499999999999993" customHeight="1" x14ac:dyDescent="0.2">
      <c r="C6" s="346">
        <v>42491</v>
      </c>
      <c r="D6" s="345">
        <f t="shared" ref="D6:N6" si="0">EOMONTH(C6,1)</f>
        <v>42551</v>
      </c>
      <c r="E6" s="345">
        <f t="shared" si="0"/>
        <v>42582</v>
      </c>
      <c r="F6" s="345">
        <f t="shared" si="0"/>
        <v>42613</v>
      </c>
      <c r="G6" s="345">
        <f t="shared" si="0"/>
        <v>42643</v>
      </c>
      <c r="H6" s="345">
        <f t="shared" si="0"/>
        <v>42674</v>
      </c>
      <c r="I6" s="345">
        <f t="shared" si="0"/>
        <v>42704</v>
      </c>
      <c r="J6" s="345">
        <f t="shared" si="0"/>
        <v>42735</v>
      </c>
      <c r="K6" s="345">
        <f t="shared" si="0"/>
        <v>42766</v>
      </c>
      <c r="L6" s="345">
        <f t="shared" si="0"/>
        <v>42794</v>
      </c>
      <c r="M6" s="345">
        <f t="shared" si="0"/>
        <v>42825</v>
      </c>
      <c r="N6" s="345">
        <f t="shared" si="0"/>
        <v>42855</v>
      </c>
    </row>
    <row r="7" spans="1:16" s="306" customFormat="1" x14ac:dyDescent="0.2">
      <c r="A7" s="344" t="s">
        <v>34</v>
      </c>
      <c r="C7" s="343">
        <v>566.79</v>
      </c>
      <c r="D7" s="343">
        <v>609.30999999999995</v>
      </c>
      <c r="E7" s="343">
        <v>557.88</v>
      </c>
      <c r="F7" s="343">
        <v>651.86</v>
      </c>
      <c r="G7" s="343">
        <v>565.62</v>
      </c>
      <c r="H7" s="343">
        <v>550.04999999999995</v>
      </c>
      <c r="I7" s="343">
        <v>539.30999999999995</v>
      </c>
      <c r="J7" s="343">
        <v>486.58</v>
      </c>
      <c r="K7" s="343">
        <v>606.82000000000005</v>
      </c>
      <c r="L7" s="343">
        <v>475.01</v>
      </c>
      <c r="M7" s="343">
        <v>576.65</v>
      </c>
      <c r="N7" s="343">
        <v>479.61</v>
      </c>
    </row>
    <row r="8" spans="1:16" x14ac:dyDescent="0.2">
      <c r="A8" s="305" t="s">
        <v>35</v>
      </c>
      <c r="C8" s="86">
        <v>0</v>
      </c>
      <c r="D8" s="86">
        <v>0</v>
      </c>
      <c r="E8" s="86">
        <v>0</v>
      </c>
      <c r="F8" s="86">
        <v>0</v>
      </c>
      <c r="G8" s="86">
        <v>0</v>
      </c>
      <c r="H8" s="86">
        <v>0</v>
      </c>
      <c r="I8" s="86">
        <v>0</v>
      </c>
      <c r="J8" s="86">
        <v>0</v>
      </c>
      <c r="K8" s="86">
        <v>0</v>
      </c>
      <c r="L8" s="86">
        <v>0</v>
      </c>
      <c r="M8" s="86">
        <v>0</v>
      </c>
      <c r="N8" s="86">
        <v>0</v>
      </c>
    </row>
    <row r="9" spans="1:16" x14ac:dyDescent="0.2">
      <c r="A9" s="305" t="s">
        <v>36</v>
      </c>
      <c r="C9" s="87">
        <f t="shared" ref="C9:N9" si="1">+C7*C8</f>
        <v>0</v>
      </c>
      <c r="D9" s="87">
        <f t="shared" si="1"/>
        <v>0</v>
      </c>
      <c r="E9" s="87">
        <f t="shared" si="1"/>
        <v>0</v>
      </c>
      <c r="F9" s="87">
        <f t="shared" si="1"/>
        <v>0</v>
      </c>
      <c r="G9" s="87">
        <f t="shared" si="1"/>
        <v>0</v>
      </c>
      <c r="H9" s="87">
        <f t="shared" si="1"/>
        <v>0</v>
      </c>
      <c r="I9" s="87">
        <f t="shared" si="1"/>
        <v>0</v>
      </c>
      <c r="J9" s="87">
        <f t="shared" si="1"/>
        <v>0</v>
      </c>
      <c r="K9" s="87">
        <f t="shared" si="1"/>
        <v>0</v>
      </c>
      <c r="L9" s="87">
        <f t="shared" si="1"/>
        <v>0</v>
      </c>
      <c r="M9" s="87">
        <f t="shared" si="1"/>
        <v>0</v>
      </c>
      <c r="N9" s="87">
        <f t="shared" si="1"/>
        <v>0</v>
      </c>
    </row>
    <row r="10" spans="1:16" x14ac:dyDescent="0.2">
      <c r="A10" s="327" t="s">
        <v>37</v>
      </c>
      <c r="C10" s="342">
        <f t="shared" ref="C10:N10" si="2">+C7-C9</f>
        <v>566.79</v>
      </c>
      <c r="D10" s="342">
        <f t="shared" si="2"/>
        <v>609.30999999999995</v>
      </c>
      <c r="E10" s="342">
        <f t="shared" si="2"/>
        <v>557.88</v>
      </c>
      <c r="F10" s="342">
        <f t="shared" si="2"/>
        <v>651.86</v>
      </c>
      <c r="G10" s="342">
        <f t="shared" si="2"/>
        <v>565.62</v>
      </c>
      <c r="H10" s="342">
        <f t="shared" si="2"/>
        <v>550.04999999999995</v>
      </c>
      <c r="I10" s="342">
        <f t="shared" si="2"/>
        <v>539.30999999999995</v>
      </c>
      <c r="J10" s="342">
        <f t="shared" si="2"/>
        <v>486.58</v>
      </c>
      <c r="K10" s="342">
        <f t="shared" si="2"/>
        <v>606.82000000000005</v>
      </c>
      <c r="L10" s="342">
        <f t="shared" si="2"/>
        <v>475.01</v>
      </c>
      <c r="M10" s="342">
        <f t="shared" si="2"/>
        <v>576.65</v>
      </c>
      <c r="N10" s="342">
        <f t="shared" si="2"/>
        <v>479.61</v>
      </c>
    </row>
    <row r="12" spans="1:16" x14ac:dyDescent="0.2">
      <c r="A12" s="327" t="s">
        <v>38</v>
      </c>
    </row>
    <row r="13" spans="1:16" s="332" customFormat="1" x14ac:dyDescent="0.2">
      <c r="B13" s="332" t="s">
        <v>24</v>
      </c>
      <c r="C13" s="341">
        <v>0.19500000000000001</v>
      </c>
      <c r="D13" s="341">
        <f t="shared" ref="D13:N13" si="3">+C13</f>
        <v>0.19500000000000001</v>
      </c>
      <c r="E13" s="341">
        <f t="shared" si="3"/>
        <v>0.19500000000000001</v>
      </c>
      <c r="F13" s="341">
        <f t="shared" si="3"/>
        <v>0.19500000000000001</v>
      </c>
      <c r="G13" s="341">
        <f t="shared" si="3"/>
        <v>0.19500000000000001</v>
      </c>
      <c r="H13" s="341">
        <f t="shared" si="3"/>
        <v>0.19500000000000001</v>
      </c>
      <c r="I13" s="341">
        <f t="shared" si="3"/>
        <v>0.19500000000000001</v>
      </c>
      <c r="J13" s="341">
        <f t="shared" si="3"/>
        <v>0.19500000000000001</v>
      </c>
      <c r="K13" s="341">
        <f t="shared" si="3"/>
        <v>0.19500000000000001</v>
      </c>
      <c r="L13" s="341">
        <f t="shared" si="3"/>
        <v>0.19500000000000001</v>
      </c>
      <c r="M13" s="341">
        <f t="shared" si="3"/>
        <v>0.19500000000000001</v>
      </c>
      <c r="N13" s="341">
        <f t="shared" si="3"/>
        <v>0.19500000000000001</v>
      </c>
      <c r="P13" s="340"/>
    </row>
    <row r="14" spans="1:16" s="332" customFormat="1" x14ac:dyDescent="0.2">
      <c r="B14" s="332" t="s">
        <v>28</v>
      </c>
      <c r="C14" s="341">
        <v>0.1782</v>
      </c>
      <c r="D14" s="341">
        <f t="shared" ref="D14:N14" si="4">+C14</f>
        <v>0.1782</v>
      </c>
      <c r="E14" s="341">
        <f t="shared" si="4"/>
        <v>0.1782</v>
      </c>
      <c r="F14" s="341">
        <f t="shared" si="4"/>
        <v>0.1782</v>
      </c>
      <c r="G14" s="341">
        <f t="shared" si="4"/>
        <v>0.1782</v>
      </c>
      <c r="H14" s="341">
        <f t="shared" si="4"/>
        <v>0.1782</v>
      </c>
      <c r="I14" s="341">
        <f t="shared" si="4"/>
        <v>0.1782</v>
      </c>
      <c r="J14" s="341">
        <f t="shared" si="4"/>
        <v>0.1782</v>
      </c>
      <c r="K14" s="341">
        <f t="shared" si="4"/>
        <v>0.1782</v>
      </c>
      <c r="L14" s="341">
        <f t="shared" si="4"/>
        <v>0.1782</v>
      </c>
      <c r="M14" s="341">
        <f t="shared" si="4"/>
        <v>0.1782</v>
      </c>
      <c r="N14" s="341">
        <f t="shared" si="4"/>
        <v>0.1782</v>
      </c>
      <c r="P14" s="340"/>
    </row>
    <row r="15" spans="1:16" s="332" customFormat="1" x14ac:dyDescent="0.2">
      <c r="B15" s="332" t="s">
        <v>39</v>
      </c>
      <c r="C15" s="341">
        <v>0</v>
      </c>
      <c r="D15" s="341">
        <f t="shared" ref="D15:N15" si="5">+C15</f>
        <v>0</v>
      </c>
      <c r="E15" s="341">
        <f t="shared" si="5"/>
        <v>0</v>
      </c>
      <c r="F15" s="341">
        <f t="shared" si="5"/>
        <v>0</v>
      </c>
      <c r="G15" s="341">
        <f t="shared" si="5"/>
        <v>0</v>
      </c>
      <c r="H15" s="341">
        <f t="shared" si="5"/>
        <v>0</v>
      </c>
      <c r="I15" s="341">
        <f t="shared" si="5"/>
        <v>0</v>
      </c>
      <c r="J15" s="341">
        <f t="shared" si="5"/>
        <v>0</v>
      </c>
      <c r="K15" s="341">
        <f t="shared" si="5"/>
        <v>0</v>
      </c>
      <c r="L15" s="341">
        <f t="shared" si="5"/>
        <v>0</v>
      </c>
      <c r="M15" s="341">
        <f t="shared" si="5"/>
        <v>0</v>
      </c>
      <c r="N15" s="341">
        <f t="shared" si="5"/>
        <v>0</v>
      </c>
      <c r="P15" s="340"/>
    </row>
    <row r="16" spans="1:16" s="332" customFormat="1" x14ac:dyDescent="0.2">
      <c r="B16" s="332" t="s">
        <v>40</v>
      </c>
      <c r="C16" s="341">
        <v>1.6500000000000001E-2</v>
      </c>
      <c r="D16" s="341">
        <f t="shared" ref="D16:N16" si="6">+C16</f>
        <v>1.6500000000000001E-2</v>
      </c>
      <c r="E16" s="341">
        <f t="shared" si="6"/>
        <v>1.6500000000000001E-2</v>
      </c>
      <c r="F16" s="341">
        <f t="shared" si="6"/>
        <v>1.6500000000000001E-2</v>
      </c>
      <c r="G16" s="341">
        <f t="shared" si="6"/>
        <v>1.6500000000000001E-2</v>
      </c>
      <c r="H16" s="341">
        <f t="shared" si="6"/>
        <v>1.6500000000000001E-2</v>
      </c>
      <c r="I16" s="341">
        <f t="shared" si="6"/>
        <v>1.6500000000000001E-2</v>
      </c>
      <c r="J16" s="341">
        <f t="shared" si="6"/>
        <v>1.6500000000000001E-2</v>
      </c>
      <c r="K16" s="341">
        <f t="shared" si="6"/>
        <v>1.6500000000000001E-2</v>
      </c>
      <c r="L16" s="341">
        <f t="shared" si="6"/>
        <v>1.6500000000000001E-2</v>
      </c>
      <c r="M16" s="341">
        <f t="shared" si="6"/>
        <v>1.6500000000000001E-2</v>
      </c>
      <c r="N16" s="341">
        <f t="shared" si="6"/>
        <v>1.6500000000000001E-2</v>
      </c>
      <c r="P16" s="340"/>
    </row>
    <row r="17" spans="1:16" s="332" customFormat="1" x14ac:dyDescent="0.2">
      <c r="B17" s="332" t="s">
        <v>41</v>
      </c>
      <c r="C17" s="341">
        <v>4.4900000000000002E-2</v>
      </c>
      <c r="D17" s="341">
        <f t="shared" ref="D17:N17" si="7">+C17</f>
        <v>4.4900000000000002E-2</v>
      </c>
      <c r="E17" s="341">
        <f t="shared" si="7"/>
        <v>4.4900000000000002E-2</v>
      </c>
      <c r="F17" s="341">
        <f t="shared" si="7"/>
        <v>4.4900000000000002E-2</v>
      </c>
      <c r="G17" s="341">
        <f t="shared" si="7"/>
        <v>4.4900000000000002E-2</v>
      </c>
      <c r="H17" s="341">
        <f t="shared" si="7"/>
        <v>4.4900000000000002E-2</v>
      </c>
      <c r="I17" s="341">
        <f t="shared" si="7"/>
        <v>4.4900000000000002E-2</v>
      </c>
      <c r="J17" s="341">
        <f t="shared" si="7"/>
        <v>4.4900000000000002E-2</v>
      </c>
      <c r="K17" s="341">
        <f t="shared" si="7"/>
        <v>4.4900000000000002E-2</v>
      </c>
      <c r="L17" s="341">
        <f t="shared" si="7"/>
        <v>4.4900000000000002E-2</v>
      </c>
      <c r="M17" s="341">
        <f t="shared" si="7"/>
        <v>4.4900000000000002E-2</v>
      </c>
      <c r="N17" s="341">
        <f t="shared" si="7"/>
        <v>4.4900000000000002E-2</v>
      </c>
      <c r="P17" s="340"/>
    </row>
    <row r="18" spans="1:16" s="332" customFormat="1" x14ac:dyDescent="0.2">
      <c r="B18" s="332" t="s">
        <v>42</v>
      </c>
      <c r="C18" s="341">
        <v>7.4999999999999997E-3</v>
      </c>
      <c r="D18" s="341">
        <f t="shared" ref="D18:N18" si="8">+C18</f>
        <v>7.4999999999999997E-3</v>
      </c>
      <c r="E18" s="341">
        <f t="shared" si="8"/>
        <v>7.4999999999999997E-3</v>
      </c>
      <c r="F18" s="341">
        <f t="shared" si="8"/>
        <v>7.4999999999999997E-3</v>
      </c>
      <c r="G18" s="341">
        <f t="shared" si="8"/>
        <v>7.4999999999999997E-3</v>
      </c>
      <c r="H18" s="341">
        <f t="shared" si="8"/>
        <v>7.4999999999999997E-3</v>
      </c>
      <c r="I18" s="341">
        <f t="shared" si="8"/>
        <v>7.4999999999999997E-3</v>
      </c>
      <c r="J18" s="341">
        <f t="shared" si="8"/>
        <v>7.4999999999999997E-3</v>
      </c>
      <c r="K18" s="341">
        <f t="shared" si="8"/>
        <v>7.4999999999999997E-3</v>
      </c>
      <c r="L18" s="341">
        <f t="shared" si="8"/>
        <v>7.4999999999999997E-3</v>
      </c>
      <c r="M18" s="341">
        <f t="shared" si="8"/>
        <v>7.4999999999999997E-3</v>
      </c>
      <c r="N18" s="341">
        <f t="shared" si="8"/>
        <v>7.4999999999999997E-3</v>
      </c>
      <c r="P18" s="340"/>
    </row>
    <row r="19" spans="1:16" s="332" customFormat="1" x14ac:dyDescent="0.2">
      <c r="B19" s="305" t="s">
        <v>43</v>
      </c>
      <c r="C19" s="341">
        <v>0</v>
      </c>
      <c r="D19" s="341">
        <f t="shared" ref="D19:N19" si="9">+C19</f>
        <v>0</v>
      </c>
      <c r="E19" s="341">
        <f t="shared" si="9"/>
        <v>0</v>
      </c>
      <c r="F19" s="341">
        <f t="shared" si="9"/>
        <v>0</v>
      </c>
      <c r="G19" s="341">
        <f t="shared" si="9"/>
        <v>0</v>
      </c>
      <c r="H19" s="341">
        <f t="shared" si="9"/>
        <v>0</v>
      </c>
      <c r="I19" s="341">
        <f t="shared" si="9"/>
        <v>0</v>
      </c>
      <c r="J19" s="341">
        <f t="shared" si="9"/>
        <v>0</v>
      </c>
      <c r="K19" s="341">
        <f t="shared" si="9"/>
        <v>0</v>
      </c>
      <c r="L19" s="341">
        <f t="shared" si="9"/>
        <v>0</v>
      </c>
      <c r="M19" s="341">
        <f t="shared" si="9"/>
        <v>0</v>
      </c>
      <c r="N19" s="341">
        <f t="shared" si="9"/>
        <v>0</v>
      </c>
      <c r="P19" s="340"/>
    </row>
    <row r="20" spans="1:16" s="332" customFormat="1" x14ac:dyDescent="0.2">
      <c r="B20" s="305" t="s">
        <v>22</v>
      </c>
      <c r="C20" s="341">
        <v>0.17680000000000001</v>
      </c>
      <c r="D20" s="341">
        <f t="shared" ref="D20:N20" si="10">+C20</f>
        <v>0.17680000000000001</v>
      </c>
      <c r="E20" s="341">
        <f t="shared" si="10"/>
        <v>0.17680000000000001</v>
      </c>
      <c r="F20" s="341">
        <f t="shared" si="10"/>
        <v>0.17680000000000001</v>
      </c>
      <c r="G20" s="341">
        <f t="shared" si="10"/>
        <v>0.17680000000000001</v>
      </c>
      <c r="H20" s="341">
        <f t="shared" si="10"/>
        <v>0.17680000000000001</v>
      </c>
      <c r="I20" s="341">
        <f t="shared" si="10"/>
        <v>0.17680000000000001</v>
      </c>
      <c r="J20" s="341">
        <f t="shared" si="10"/>
        <v>0.17680000000000001</v>
      </c>
      <c r="K20" s="341">
        <f t="shared" si="10"/>
        <v>0.17680000000000001</v>
      </c>
      <c r="L20" s="341">
        <f t="shared" si="10"/>
        <v>0.17680000000000001</v>
      </c>
      <c r="M20" s="341">
        <f t="shared" si="10"/>
        <v>0.17680000000000001</v>
      </c>
      <c r="N20" s="341">
        <f t="shared" si="10"/>
        <v>0.17680000000000001</v>
      </c>
      <c r="P20" s="340"/>
    </row>
    <row r="21" spans="1:16" s="332" customFormat="1" x14ac:dyDescent="0.2">
      <c r="B21" s="332" t="s">
        <v>44</v>
      </c>
      <c r="C21" s="341">
        <v>0</v>
      </c>
      <c r="D21" s="341">
        <f t="shared" ref="D21:N21" si="11">+C21</f>
        <v>0</v>
      </c>
      <c r="E21" s="341">
        <f t="shared" si="11"/>
        <v>0</v>
      </c>
      <c r="F21" s="341">
        <f t="shared" si="11"/>
        <v>0</v>
      </c>
      <c r="G21" s="341">
        <f t="shared" si="11"/>
        <v>0</v>
      </c>
      <c r="H21" s="341">
        <f t="shared" si="11"/>
        <v>0</v>
      </c>
      <c r="I21" s="341">
        <f t="shared" si="11"/>
        <v>0</v>
      </c>
      <c r="J21" s="341">
        <f t="shared" si="11"/>
        <v>0</v>
      </c>
      <c r="K21" s="341">
        <f t="shared" si="11"/>
        <v>0</v>
      </c>
      <c r="L21" s="341">
        <f t="shared" si="11"/>
        <v>0</v>
      </c>
      <c r="M21" s="341">
        <f t="shared" si="11"/>
        <v>0</v>
      </c>
      <c r="N21" s="341">
        <f t="shared" si="11"/>
        <v>0</v>
      </c>
      <c r="P21" s="340"/>
    </row>
    <row r="22" spans="1:16" s="332" customFormat="1" x14ac:dyDescent="0.2">
      <c r="B22" s="332" t="s">
        <v>45</v>
      </c>
      <c r="C22" s="341">
        <v>5.930000000000013E-2</v>
      </c>
      <c r="D22" s="341">
        <f t="shared" ref="D22:N22" si="12">+C22</f>
        <v>5.930000000000013E-2</v>
      </c>
      <c r="E22" s="341">
        <f t="shared" si="12"/>
        <v>5.930000000000013E-2</v>
      </c>
      <c r="F22" s="341">
        <f t="shared" si="12"/>
        <v>5.930000000000013E-2</v>
      </c>
      <c r="G22" s="341">
        <f t="shared" si="12"/>
        <v>5.930000000000013E-2</v>
      </c>
      <c r="H22" s="341">
        <f t="shared" si="12"/>
        <v>5.930000000000013E-2</v>
      </c>
      <c r="I22" s="341">
        <f t="shared" si="12"/>
        <v>5.930000000000013E-2</v>
      </c>
      <c r="J22" s="341">
        <f t="shared" si="12"/>
        <v>5.930000000000013E-2</v>
      </c>
      <c r="K22" s="341">
        <f t="shared" si="12"/>
        <v>5.930000000000013E-2</v>
      </c>
      <c r="L22" s="341">
        <f t="shared" si="12"/>
        <v>5.930000000000013E-2</v>
      </c>
      <c r="M22" s="341">
        <f t="shared" si="12"/>
        <v>5.930000000000013E-2</v>
      </c>
      <c r="N22" s="341">
        <f t="shared" si="12"/>
        <v>5.930000000000013E-2</v>
      </c>
      <c r="P22" s="340"/>
    </row>
    <row r="23" spans="1:16" s="332" customFormat="1" x14ac:dyDescent="0.2">
      <c r="B23" s="332" t="s">
        <v>46</v>
      </c>
      <c r="C23" s="91">
        <v>0.32179999999999997</v>
      </c>
      <c r="D23" s="341">
        <f t="shared" ref="D23:N23" si="13">+C23</f>
        <v>0.32179999999999997</v>
      </c>
      <c r="E23" s="341">
        <f t="shared" si="13"/>
        <v>0.32179999999999997</v>
      </c>
      <c r="F23" s="341">
        <f t="shared" si="13"/>
        <v>0.32179999999999997</v>
      </c>
      <c r="G23" s="341">
        <f t="shared" si="13"/>
        <v>0.32179999999999997</v>
      </c>
      <c r="H23" s="341">
        <f t="shared" si="13"/>
        <v>0.32179999999999997</v>
      </c>
      <c r="I23" s="341">
        <f t="shared" si="13"/>
        <v>0.32179999999999997</v>
      </c>
      <c r="J23" s="341">
        <f t="shared" si="13"/>
        <v>0.32179999999999997</v>
      </c>
      <c r="K23" s="341">
        <f t="shared" si="13"/>
        <v>0.32179999999999997</v>
      </c>
      <c r="L23" s="341">
        <f t="shared" si="13"/>
        <v>0.32179999999999997</v>
      </c>
      <c r="M23" s="341">
        <f t="shared" si="13"/>
        <v>0.32179999999999997</v>
      </c>
      <c r="N23" s="341">
        <f t="shared" si="13"/>
        <v>0.32179999999999997</v>
      </c>
      <c r="P23" s="340"/>
    </row>
    <row r="24" spans="1:16" x14ac:dyDescent="0.2">
      <c r="C24" s="92">
        <v>1</v>
      </c>
      <c r="D24" s="92">
        <v>1</v>
      </c>
      <c r="E24" s="92">
        <v>1</v>
      </c>
      <c r="F24" s="92">
        <v>1</v>
      </c>
      <c r="G24" s="92">
        <v>1</v>
      </c>
      <c r="H24" s="92">
        <v>1</v>
      </c>
      <c r="I24" s="92">
        <v>1</v>
      </c>
      <c r="J24" s="92">
        <v>1</v>
      </c>
      <c r="K24" s="92">
        <v>1</v>
      </c>
      <c r="L24" s="92">
        <v>1</v>
      </c>
      <c r="M24" s="92">
        <v>1</v>
      </c>
      <c r="N24" s="92">
        <v>1</v>
      </c>
      <c r="P24" s="340"/>
    </row>
    <row r="26" spans="1:16" x14ac:dyDescent="0.2">
      <c r="A26" s="327" t="s">
        <v>47</v>
      </c>
    </row>
    <row r="27" spans="1:16" x14ac:dyDescent="0.2">
      <c r="B27" s="305" t="s">
        <v>24</v>
      </c>
      <c r="C27" s="70">
        <f t="shared" ref="C27:N27" si="14">+C$10*C13</f>
        <v>110.52405</v>
      </c>
      <c r="D27" s="70">
        <f t="shared" si="14"/>
        <v>118.81545</v>
      </c>
      <c r="E27" s="70">
        <f t="shared" si="14"/>
        <v>108.78660000000001</v>
      </c>
      <c r="F27" s="70">
        <f t="shared" si="14"/>
        <v>127.1127</v>
      </c>
      <c r="G27" s="70">
        <f t="shared" si="14"/>
        <v>110.2959</v>
      </c>
      <c r="H27" s="70">
        <f t="shared" si="14"/>
        <v>107.25975</v>
      </c>
      <c r="I27" s="70">
        <f t="shared" si="14"/>
        <v>105.16544999999999</v>
      </c>
      <c r="J27" s="70">
        <f t="shared" si="14"/>
        <v>94.883099999999999</v>
      </c>
      <c r="K27" s="70">
        <f t="shared" si="14"/>
        <v>118.32990000000001</v>
      </c>
      <c r="L27" s="70">
        <f t="shared" si="14"/>
        <v>92.626950000000008</v>
      </c>
      <c r="M27" s="70">
        <f t="shared" si="14"/>
        <v>112.44674999999999</v>
      </c>
      <c r="N27" s="70">
        <f t="shared" si="14"/>
        <v>93.523949999999999</v>
      </c>
    </row>
    <row r="28" spans="1:16" x14ac:dyDescent="0.2">
      <c r="B28" s="305" t="s">
        <v>28</v>
      </c>
      <c r="C28" s="70">
        <f t="shared" ref="C28:N28" si="15">+C$10*C14</f>
        <v>101.00197799999999</v>
      </c>
      <c r="D28" s="70">
        <f t="shared" si="15"/>
        <v>108.57904199999999</v>
      </c>
      <c r="E28" s="70">
        <f t="shared" si="15"/>
        <v>99.414215999999996</v>
      </c>
      <c r="F28" s="70">
        <f t="shared" si="15"/>
        <v>116.161452</v>
      </c>
      <c r="G28" s="70">
        <f t="shared" si="15"/>
        <v>100.79348399999999</v>
      </c>
      <c r="H28" s="70">
        <f t="shared" si="15"/>
        <v>98.018909999999991</v>
      </c>
      <c r="I28" s="70">
        <f t="shared" si="15"/>
        <v>96.105041999999983</v>
      </c>
      <c r="J28" s="70">
        <f t="shared" si="15"/>
        <v>86.708556000000002</v>
      </c>
      <c r="K28" s="70">
        <f t="shared" si="15"/>
        <v>108.13532400000001</v>
      </c>
      <c r="L28" s="70">
        <f t="shared" si="15"/>
        <v>84.646782000000002</v>
      </c>
      <c r="M28" s="70">
        <f t="shared" si="15"/>
        <v>102.75903</v>
      </c>
      <c r="N28" s="70">
        <f t="shared" si="15"/>
        <v>85.466502000000006</v>
      </c>
    </row>
    <row r="29" spans="1:16" x14ac:dyDescent="0.2">
      <c r="B29" s="305" t="s">
        <v>39</v>
      </c>
      <c r="C29" s="70">
        <f t="shared" ref="C29:N29" si="16">+C$10*C15</f>
        <v>0</v>
      </c>
      <c r="D29" s="70">
        <f t="shared" si="16"/>
        <v>0</v>
      </c>
      <c r="E29" s="70">
        <f t="shared" si="16"/>
        <v>0</v>
      </c>
      <c r="F29" s="70">
        <f t="shared" si="16"/>
        <v>0</v>
      </c>
      <c r="G29" s="70">
        <f t="shared" si="16"/>
        <v>0</v>
      </c>
      <c r="H29" s="70">
        <f t="shared" si="16"/>
        <v>0</v>
      </c>
      <c r="I29" s="70">
        <f t="shared" si="16"/>
        <v>0</v>
      </c>
      <c r="J29" s="70">
        <f t="shared" si="16"/>
        <v>0</v>
      </c>
      <c r="K29" s="70">
        <f t="shared" si="16"/>
        <v>0</v>
      </c>
      <c r="L29" s="70">
        <f t="shared" si="16"/>
        <v>0</v>
      </c>
      <c r="M29" s="70">
        <f t="shared" si="16"/>
        <v>0</v>
      </c>
      <c r="N29" s="70">
        <f t="shared" si="16"/>
        <v>0</v>
      </c>
    </row>
    <row r="30" spans="1:16" x14ac:dyDescent="0.2">
      <c r="B30" s="305" t="s">
        <v>40</v>
      </c>
      <c r="C30" s="70">
        <f t="shared" ref="C30:N30" si="17">+C$10*C16</f>
        <v>9.352034999999999</v>
      </c>
      <c r="D30" s="70">
        <f t="shared" si="17"/>
        <v>10.053614999999999</v>
      </c>
      <c r="E30" s="70">
        <f t="shared" si="17"/>
        <v>9.2050200000000011</v>
      </c>
      <c r="F30" s="70">
        <f t="shared" si="17"/>
        <v>10.755690000000001</v>
      </c>
      <c r="G30" s="70">
        <f t="shared" si="17"/>
        <v>9.3327299999999997</v>
      </c>
      <c r="H30" s="70">
        <f t="shared" si="17"/>
        <v>9.075825</v>
      </c>
      <c r="I30" s="70">
        <f t="shared" si="17"/>
        <v>8.8986149999999995</v>
      </c>
      <c r="J30" s="70">
        <f t="shared" si="17"/>
        <v>8.0285700000000002</v>
      </c>
      <c r="K30" s="70">
        <f t="shared" si="17"/>
        <v>10.012530000000002</v>
      </c>
      <c r="L30" s="70">
        <f t="shared" si="17"/>
        <v>7.8376650000000003</v>
      </c>
      <c r="M30" s="70">
        <f t="shared" si="17"/>
        <v>9.5147250000000003</v>
      </c>
      <c r="N30" s="70">
        <f t="shared" si="17"/>
        <v>7.9135650000000002</v>
      </c>
    </row>
    <row r="31" spans="1:16" x14ac:dyDescent="0.2">
      <c r="B31" s="305" t="s">
        <v>41</v>
      </c>
      <c r="C31" s="70">
        <f t="shared" ref="C31:N31" si="18">+C$10*C17</f>
        <v>25.448871</v>
      </c>
      <c r="D31" s="70">
        <f t="shared" si="18"/>
        <v>27.358018999999999</v>
      </c>
      <c r="E31" s="70">
        <f t="shared" si="18"/>
        <v>25.048812000000002</v>
      </c>
      <c r="F31" s="70">
        <f t="shared" si="18"/>
        <v>29.268514000000003</v>
      </c>
      <c r="G31" s="70">
        <f t="shared" si="18"/>
        <v>25.396338</v>
      </c>
      <c r="H31" s="70">
        <f t="shared" si="18"/>
        <v>24.697244999999999</v>
      </c>
      <c r="I31" s="70">
        <f t="shared" si="18"/>
        <v>24.215018999999998</v>
      </c>
      <c r="J31" s="70">
        <f t="shared" si="18"/>
        <v>21.847442000000001</v>
      </c>
      <c r="K31" s="70">
        <f t="shared" si="18"/>
        <v>27.246218000000002</v>
      </c>
      <c r="L31" s="70">
        <f t="shared" si="18"/>
        <v>21.327949</v>
      </c>
      <c r="M31" s="70">
        <f t="shared" si="18"/>
        <v>25.891584999999999</v>
      </c>
      <c r="N31" s="70">
        <f t="shared" si="18"/>
        <v>21.534489000000001</v>
      </c>
    </row>
    <row r="32" spans="1:16" x14ac:dyDescent="0.2">
      <c r="B32" s="305" t="s">
        <v>42</v>
      </c>
      <c r="C32" s="70">
        <f t="shared" ref="C32:N32" si="19">+C$10*C18</f>
        <v>4.2509249999999996</v>
      </c>
      <c r="D32" s="70">
        <f t="shared" si="19"/>
        <v>4.5698249999999998</v>
      </c>
      <c r="E32" s="70">
        <f t="shared" si="19"/>
        <v>4.1840999999999999</v>
      </c>
      <c r="F32" s="70">
        <f t="shared" si="19"/>
        <v>4.8889500000000004</v>
      </c>
      <c r="G32" s="70">
        <f t="shared" si="19"/>
        <v>4.2421499999999996</v>
      </c>
      <c r="H32" s="70">
        <f t="shared" si="19"/>
        <v>4.1253749999999991</v>
      </c>
      <c r="I32" s="70">
        <f t="shared" si="19"/>
        <v>4.0448249999999994</v>
      </c>
      <c r="J32" s="70">
        <f t="shared" si="19"/>
        <v>3.6493499999999996</v>
      </c>
      <c r="K32" s="70">
        <f t="shared" si="19"/>
        <v>4.5511499999999998</v>
      </c>
      <c r="L32" s="70">
        <f t="shared" si="19"/>
        <v>3.5625749999999998</v>
      </c>
      <c r="M32" s="70">
        <f t="shared" si="19"/>
        <v>4.3248749999999996</v>
      </c>
      <c r="N32" s="70">
        <f t="shared" si="19"/>
        <v>3.5970749999999998</v>
      </c>
    </row>
    <row r="33" spans="1:14" x14ac:dyDescent="0.2">
      <c r="B33" s="305" t="s">
        <v>43</v>
      </c>
      <c r="C33" s="70">
        <f t="shared" ref="C33:N33" si="20">+C$10*C19</f>
        <v>0</v>
      </c>
      <c r="D33" s="70">
        <f t="shared" si="20"/>
        <v>0</v>
      </c>
      <c r="E33" s="70">
        <f t="shared" si="20"/>
        <v>0</v>
      </c>
      <c r="F33" s="70">
        <f t="shared" si="20"/>
        <v>0</v>
      </c>
      <c r="G33" s="70">
        <f t="shared" si="20"/>
        <v>0</v>
      </c>
      <c r="H33" s="70">
        <f t="shared" si="20"/>
        <v>0</v>
      </c>
      <c r="I33" s="70">
        <f t="shared" si="20"/>
        <v>0</v>
      </c>
      <c r="J33" s="70">
        <f t="shared" si="20"/>
        <v>0</v>
      </c>
      <c r="K33" s="70">
        <f t="shared" si="20"/>
        <v>0</v>
      </c>
      <c r="L33" s="70">
        <f t="shared" si="20"/>
        <v>0</v>
      </c>
      <c r="M33" s="70">
        <f t="shared" si="20"/>
        <v>0</v>
      </c>
      <c r="N33" s="70">
        <f t="shared" si="20"/>
        <v>0</v>
      </c>
    </row>
    <row r="34" spans="1:14" x14ac:dyDescent="0.2">
      <c r="B34" s="305" t="s">
        <v>22</v>
      </c>
      <c r="C34" s="70">
        <f t="shared" ref="C34:N34" si="21">+C$10*C20</f>
        <v>100.208472</v>
      </c>
      <c r="D34" s="70">
        <f t="shared" si="21"/>
        <v>107.72600799999999</v>
      </c>
      <c r="E34" s="70">
        <f t="shared" si="21"/>
        <v>98.633184</v>
      </c>
      <c r="F34" s="70">
        <f t="shared" si="21"/>
        <v>115.24884800000001</v>
      </c>
      <c r="G34" s="70">
        <f t="shared" si="21"/>
        <v>100.00161600000001</v>
      </c>
      <c r="H34" s="70">
        <f t="shared" si="21"/>
        <v>97.248840000000001</v>
      </c>
      <c r="I34" s="70">
        <f t="shared" si="21"/>
        <v>95.350008000000003</v>
      </c>
      <c r="J34" s="70">
        <f t="shared" si="21"/>
        <v>86.027343999999999</v>
      </c>
      <c r="K34" s="70">
        <f t="shared" si="21"/>
        <v>107.28577600000001</v>
      </c>
      <c r="L34" s="70">
        <f t="shared" si="21"/>
        <v>83.981768000000002</v>
      </c>
      <c r="M34" s="70">
        <f t="shared" si="21"/>
        <v>101.95172000000001</v>
      </c>
      <c r="N34" s="70">
        <f t="shared" si="21"/>
        <v>84.795048000000008</v>
      </c>
    </row>
    <row r="35" spans="1:14" x14ac:dyDescent="0.2">
      <c r="B35" s="305" t="s">
        <v>44</v>
      </c>
      <c r="C35" s="70">
        <f t="shared" ref="C35:N35" si="22">+C$10*C21</f>
        <v>0</v>
      </c>
      <c r="D35" s="70">
        <f t="shared" si="22"/>
        <v>0</v>
      </c>
      <c r="E35" s="70">
        <f t="shared" si="22"/>
        <v>0</v>
      </c>
      <c r="F35" s="70">
        <f t="shared" si="22"/>
        <v>0</v>
      </c>
      <c r="G35" s="70">
        <f t="shared" si="22"/>
        <v>0</v>
      </c>
      <c r="H35" s="70">
        <f t="shared" si="22"/>
        <v>0</v>
      </c>
      <c r="I35" s="70">
        <f t="shared" si="22"/>
        <v>0</v>
      </c>
      <c r="J35" s="70">
        <f t="shared" si="22"/>
        <v>0</v>
      </c>
      <c r="K35" s="70">
        <f t="shared" si="22"/>
        <v>0</v>
      </c>
      <c r="L35" s="70">
        <f t="shared" si="22"/>
        <v>0</v>
      </c>
      <c r="M35" s="70">
        <f t="shared" si="22"/>
        <v>0</v>
      </c>
      <c r="N35" s="70">
        <f t="shared" si="22"/>
        <v>0</v>
      </c>
    </row>
    <row r="36" spans="1:14" x14ac:dyDescent="0.2">
      <c r="B36" s="305" t="s">
        <v>45</v>
      </c>
      <c r="C36" s="70">
        <f t="shared" ref="C36:N36" si="23">+C$10*C22</f>
        <v>33.610647000000071</v>
      </c>
      <c r="D36" s="70">
        <f t="shared" si="23"/>
        <v>36.13208300000008</v>
      </c>
      <c r="E36" s="70">
        <f t="shared" si="23"/>
        <v>33.082284000000072</v>
      </c>
      <c r="F36" s="70">
        <f t="shared" si="23"/>
        <v>38.655298000000087</v>
      </c>
      <c r="G36" s="70">
        <f t="shared" si="23"/>
        <v>33.541266000000071</v>
      </c>
      <c r="H36" s="70">
        <f t="shared" si="23"/>
        <v>32.617965000000069</v>
      </c>
      <c r="I36" s="70">
        <f t="shared" si="23"/>
        <v>31.981083000000066</v>
      </c>
      <c r="J36" s="70">
        <f t="shared" si="23"/>
        <v>28.854194000000064</v>
      </c>
      <c r="K36" s="70">
        <f t="shared" si="23"/>
        <v>35.984426000000084</v>
      </c>
      <c r="L36" s="70">
        <f t="shared" si="23"/>
        <v>28.168093000000063</v>
      </c>
      <c r="M36" s="70">
        <f t="shared" si="23"/>
        <v>34.195345000000074</v>
      </c>
      <c r="N36" s="70">
        <f t="shared" si="23"/>
        <v>28.440873000000064</v>
      </c>
    </row>
    <row r="37" spans="1:14" x14ac:dyDescent="0.2">
      <c r="B37" s="305" t="s">
        <v>46</v>
      </c>
      <c r="C37" s="87">
        <f t="shared" ref="C37:N37" si="24">+C$10*C23</f>
        <v>182.39302199999997</v>
      </c>
      <c r="D37" s="87">
        <f t="shared" si="24"/>
        <v>196.07595799999996</v>
      </c>
      <c r="E37" s="87">
        <f t="shared" si="24"/>
        <v>179.52578399999999</v>
      </c>
      <c r="F37" s="87">
        <f t="shared" si="24"/>
        <v>209.76854799999998</v>
      </c>
      <c r="G37" s="87">
        <f t="shared" si="24"/>
        <v>182.016516</v>
      </c>
      <c r="H37" s="87">
        <f t="shared" si="24"/>
        <v>177.00608999999997</v>
      </c>
      <c r="I37" s="87">
        <f t="shared" si="24"/>
        <v>173.54995799999998</v>
      </c>
      <c r="J37" s="87">
        <f t="shared" si="24"/>
        <v>156.58144399999998</v>
      </c>
      <c r="K37" s="87">
        <f t="shared" si="24"/>
        <v>195.274676</v>
      </c>
      <c r="L37" s="87">
        <f t="shared" si="24"/>
        <v>152.85821799999999</v>
      </c>
      <c r="M37" s="87">
        <f t="shared" si="24"/>
        <v>185.56596999999996</v>
      </c>
      <c r="N37" s="87">
        <f t="shared" si="24"/>
        <v>154.33849799999999</v>
      </c>
    </row>
    <row r="38" spans="1:14" x14ac:dyDescent="0.2">
      <c r="C38" s="70">
        <f t="shared" ref="C38:N38" si="25">SUM(C27:C37)</f>
        <v>566.79000000000008</v>
      </c>
      <c r="D38" s="70">
        <f t="shared" si="25"/>
        <v>609.30999999999995</v>
      </c>
      <c r="E38" s="70">
        <f t="shared" si="25"/>
        <v>557.88000000000011</v>
      </c>
      <c r="F38" s="70">
        <f t="shared" si="25"/>
        <v>651.86000000000013</v>
      </c>
      <c r="G38" s="70">
        <f t="shared" si="25"/>
        <v>565.62000000000012</v>
      </c>
      <c r="H38" s="70">
        <f t="shared" si="25"/>
        <v>550.05000000000007</v>
      </c>
      <c r="I38" s="70">
        <f t="shared" si="25"/>
        <v>539.31000000000006</v>
      </c>
      <c r="J38" s="70">
        <f t="shared" si="25"/>
        <v>486.58000000000004</v>
      </c>
      <c r="K38" s="70">
        <f t="shared" si="25"/>
        <v>606.82000000000016</v>
      </c>
      <c r="L38" s="70">
        <f t="shared" si="25"/>
        <v>475.01</v>
      </c>
      <c r="M38" s="70">
        <f t="shared" si="25"/>
        <v>576.65000000000009</v>
      </c>
      <c r="N38" s="70">
        <f t="shared" si="25"/>
        <v>479.61000000000013</v>
      </c>
    </row>
    <row r="40" spans="1:14" x14ac:dyDescent="0.2">
      <c r="A40" s="327" t="s">
        <v>48</v>
      </c>
    </row>
    <row r="41" spans="1:14" x14ac:dyDescent="0.2">
      <c r="B41" s="305" t="s">
        <v>24</v>
      </c>
      <c r="C41" s="175">
        <v>1</v>
      </c>
      <c r="D41" s="94">
        <v>1</v>
      </c>
      <c r="E41" s="94">
        <v>1</v>
      </c>
      <c r="F41" s="94">
        <v>1</v>
      </c>
      <c r="G41" s="94">
        <v>1</v>
      </c>
      <c r="H41" s="94">
        <v>1</v>
      </c>
      <c r="I41" s="94">
        <v>1</v>
      </c>
      <c r="J41" s="94">
        <v>1</v>
      </c>
      <c r="K41" s="94">
        <v>1</v>
      </c>
      <c r="L41" s="94">
        <v>1</v>
      </c>
      <c r="M41" s="94">
        <v>1</v>
      </c>
      <c r="N41" s="94">
        <v>1</v>
      </c>
    </row>
    <row r="42" spans="1:14" x14ac:dyDescent="0.2">
      <c r="B42" s="305" t="s">
        <v>28</v>
      </c>
      <c r="C42" s="175">
        <v>1</v>
      </c>
      <c r="D42" s="94">
        <v>1</v>
      </c>
      <c r="E42" s="94">
        <v>1</v>
      </c>
      <c r="F42" s="94">
        <v>1</v>
      </c>
      <c r="G42" s="94">
        <v>1</v>
      </c>
      <c r="H42" s="94">
        <v>1</v>
      </c>
      <c r="I42" s="94">
        <v>1</v>
      </c>
      <c r="J42" s="94">
        <v>1</v>
      </c>
      <c r="K42" s="94">
        <v>1</v>
      </c>
      <c r="L42" s="94">
        <v>1</v>
      </c>
      <c r="M42" s="94">
        <v>1</v>
      </c>
      <c r="N42" s="94">
        <v>1</v>
      </c>
    </row>
    <row r="43" spans="1:14" x14ac:dyDescent="0.2">
      <c r="B43" s="305" t="s">
        <v>39</v>
      </c>
      <c r="C43" s="175">
        <v>1</v>
      </c>
      <c r="D43" s="94">
        <v>1</v>
      </c>
      <c r="E43" s="94">
        <v>1</v>
      </c>
      <c r="F43" s="94">
        <v>1</v>
      </c>
      <c r="G43" s="94">
        <v>1</v>
      </c>
      <c r="H43" s="94">
        <v>1</v>
      </c>
      <c r="I43" s="94">
        <v>1</v>
      </c>
      <c r="J43" s="94">
        <v>1</v>
      </c>
      <c r="K43" s="94">
        <v>1</v>
      </c>
      <c r="L43" s="94">
        <v>1</v>
      </c>
      <c r="M43" s="94">
        <v>1</v>
      </c>
      <c r="N43" s="94">
        <v>1</v>
      </c>
    </row>
    <row r="44" spans="1:14" x14ac:dyDescent="0.2">
      <c r="B44" s="305" t="s">
        <v>40</v>
      </c>
      <c r="C44" s="175">
        <v>1</v>
      </c>
      <c r="D44" s="94">
        <v>1</v>
      </c>
      <c r="E44" s="94">
        <v>1</v>
      </c>
      <c r="F44" s="94">
        <v>1</v>
      </c>
      <c r="G44" s="94">
        <v>1</v>
      </c>
      <c r="H44" s="94">
        <v>1</v>
      </c>
      <c r="I44" s="94">
        <v>1</v>
      </c>
      <c r="J44" s="94">
        <v>1</v>
      </c>
      <c r="K44" s="94">
        <v>1</v>
      </c>
      <c r="L44" s="94">
        <v>1</v>
      </c>
      <c r="M44" s="94">
        <v>1</v>
      </c>
      <c r="N44" s="94">
        <v>1</v>
      </c>
    </row>
    <row r="45" spans="1:14" x14ac:dyDescent="0.2">
      <c r="B45" s="305" t="s">
        <v>41</v>
      </c>
      <c r="C45" s="175">
        <v>1</v>
      </c>
      <c r="D45" s="94">
        <v>1</v>
      </c>
      <c r="E45" s="94">
        <v>1</v>
      </c>
      <c r="F45" s="94">
        <v>1</v>
      </c>
      <c r="G45" s="94">
        <v>1</v>
      </c>
      <c r="H45" s="94">
        <v>1</v>
      </c>
      <c r="I45" s="94">
        <v>1</v>
      </c>
      <c r="J45" s="94">
        <v>1</v>
      </c>
      <c r="K45" s="94">
        <v>1</v>
      </c>
      <c r="L45" s="94">
        <v>1</v>
      </c>
      <c r="M45" s="94">
        <v>1</v>
      </c>
      <c r="N45" s="94">
        <v>1</v>
      </c>
    </row>
    <row r="46" spans="1:14" x14ac:dyDescent="0.2">
      <c r="B46" s="305" t="s">
        <v>42</v>
      </c>
      <c r="C46" s="175">
        <v>1</v>
      </c>
      <c r="D46" s="94">
        <v>1</v>
      </c>
      <c r="E46" s="94">
        <v>1</v>
      </c>
      <c r="F46" s="94">
        <v>1</v>
      </c>
      <c r="G46" s="94">
        <v>1</v>
      </c>
      <c r="H46" s="94">
        <v>1</v>
      </c>
      <c r="I46" s="94">
        <v>1</v>
      </c>
      <c r="J46" s="94">
        <v>1</v>
      </c>
      <c r="K46" s="94">
        <v>1</v>
      </c>
      <c r="L46" s="94">
        <v>1</v>
      </c>
      <c r="M46" s="94">
        <v>1</v>
      </c>
      <c r="N46" s="94">
        <v>1</v>
      </c>
    </row>
    <row r="47" spans="1:14" x14ac:dyDescent="0.2">
      <c r="B47" s="305" t="s">
        <v>43</v>
      </c>
      <c r="C47" s="175">
        <v>1</v>
      </c>
      <c r="D47" s="94">
        <v>1</v>
      </c>
      <c r="E47" s="94">
        <v>1</v>
      </c>
      <c r="F47" s="94">
        <v>1</v>
      </c>
      <c r="G47" s="94">
        <v>1</v>
      </c>
      <c r="H47" s="94">
        <v>1</v>
      </c>
      <c r="I47" s="94">
        <v>1</v>
      </c>
      <c r="J47" s="94">
        <v>1</v>
      </c>
      <c r="K47" s="94">
        <v>1</v>
      </c>
      <c r="L47" s="94">
        <v>1</v>
      </c>
      <c r="M47" s="94">
        <v>1</v>
      </c>
      <c r="N47" s="94">
        <v>1</v>
      </c>
    </row>
    <row r="48" spans="1:14" x14ac:dyDescent="0.2">
      <c r="B48" s="305" t="s">
        <v>22</v>
      </c>
      <c r="C48" s="175">
        <v>1</v>
      </c>
      <c r="D48" s="94">
        <v>1</v>
      </c>
      <c r="E48" s="94">
        <v>1</v>
      </c>
      <c r="F48" s="94">
        <v>1</v>
      </c>
      <c r="G48" s="94">
        <v>1</v>
      </c>
      <c r="H48" s="94">
        <v>1</v>
      </c>
      <c r="I48" s="94">
        <v>1</v>
      </c>
      <c r="J48" s="94">
        <v>1</v>
      </c>
      <c r="K48" s="94">
        <v>1</v>
      </c>
      <c r="L48" s="94">
        <v>1</v>
      </c>
      <c r="M48" s="94">
        <v>1</v>
      </c>
      <c r="N48" s="94">
        <v>1</v>
      </c>
    </row>
    <row r="49" spans="1:18" x14ac:dyDescent="0.2">
      <c r="B49" s="305" t="s">
        <v>44</v>
      </c>
      <c r="C49" s="175">
        <v>1</v>
      </c>
      <c r="D49" s="94">
        <v>1</v>
      </c>
      <c r="E49" s="94">
        <v>1</v>
      </c>
      <c r="F49" s="94">
        <v>1</v>
      </c>
      <c r="G49" s="94">
        <v>1</v>
      </c>
      <c r="H49" s="94">
        <v>1</v>
      </c>
      <c r="I49" s="94">
        <v>1</v>
      </c>
      <c r="J49" s="94">
        <v>1</v>
      </c>
      <c r="K49" s="94">
        <v>1</v>
      </c>
      <c r="L49" s="94">
        <v>1</v>
      </c>
      <c r="M49" s="94">
        <v>1</v>
      </c>
      <c r="N49" s="94">
        <v>1</v>
      </c>
    </row>
    <row r="50" spans="1:18" ht="12.75" x14ac:dyDescent="0.2">
      <c r="B50" s="305" t="s">
        <v>45</v>
      </c>
      <c r="C50" s="175">
        <v>1</v>
      </c>
      <c r="D50" s="94">
        <v>1</v>
      </c>
      <c r="E50" s="94">
        <v>1</v>
      </c>
      <c r="F50" s="94">
        <v>1</v>
      </c>
      <c r="G50" s="94">
        <v>1</v>
      </c>
      <c r="H50" s="94">
        <v>1</v>
      </c>
      <c r="I50" s="94">
        <v>1</v>
      </c>
      <c r="J50" s="94">
        <v>1</v>
      </c>
      <c r="K50" s="94">
        <v>1</v>
      </c>
      <c r="L50" s="94">
        <v>1</v>
      </c>
      <c r="M50" s="94">
        <v>1</v>
      </c>
      <c r="N50" s="94">
        <v>1</v>
      </c>
      <c r="R50" s="142"/>
    </row>
    <row r="51" spans="1:18" ht="14.25" customHeight="1" x14ac:dyDescent="0.2">
      <c r="C51" s="92"/>
      <c r="D51" s="94"/>
      <c r="E51" s="94"/>
      <c r="F51" s="94"/>
      <c r="G51" s="94"/>
      <c r="H51" s="94"/>
      <c r="I51" s="94"/>
      <c r="J51" s="94"/>
      <c r="K51" s="94"/>
      <c r="L51" s="94"/>
      <c r="M51" s="94"/>
      <c r="N51" s="94"/>
      <c r="P51" s="328"/>
      <c r="R51" s="142"/>
    </row>
    <row r="52" spans="1:18" ht="12.75" x14ac:dyDescent="0.2">
      <c r="A52" s="305" t="s">
        <v>46</v>
      </c>
      <c r="C52" s="92">
        <f>+C65/C37</f>
        <v>0.99999999999999933</v>
      </c>
      <c r="D52" s="94">
        <v>1</v>
      </c>
      <c r="E52" s="94">
        <v>1</v>
      </c>
      <c r="F52" s="94">
        <v>1</v>
      </c>
      <c r="G52" s="94">
        <v>1</v>
      </c>
      <c r="H52" s="94">
        <v>1</v>
      </c>
      <c r="I52" s="94">
        <v>1</v>
      </c>
      <c r="J52" s="94">
        <v>1</v>
      </c>
      <c r="K52" s="94">
        <v>1</v>
      </c>
      <c r="L52" s="94">
        <v>1</v>
      </c>
      <c r="M52" s="94">
        <v>1</v>
      </c>
      <c r="N52" s="94">
        <v>1</v>
      </c>
      <c r="P52" s="319"/>
      <c r="R52" s="142"/>
    </row>
    <row r="53" spans="1:18" ht="12.75" x14ac:dyDescent="0.2">
      <c r="L53" s="92"/>
      <c r="N53" s="94"/>
      <c r="P53" s="319"/>
      <c r="Q53" s="328"/>
      <c r="R53" s="142"/>
    </row>
    <row r="54" spans="1:18" ht="12.75" x14ac:dyDescent="0.2">
      <c r="A54" s="327" t="s">
        <v>49</v>
      </c>
      <c r="L54" s="92"/>
      <c r="N54" s="94"/>
      <c r="P54" s="319"/>
      <c r="Q54" s="142"/>
      <c r="R54" s="142"/>
    </row>
    <row r="55" spans="1:18" ht="12.75" x14ac:dyDescent="0.2">
      <c r="B55" s="305" t="s">
        <v>24</v>
      </c>
      <c r="C55" s="70">
        <f t="shared" ref="C55:N55" si="26">+C27*C41</f>
        <v>110.52405</v>
      </c>
      <c r="D55" s="70">
        <f t="shared" si="26"/>
        <v>118.81545</v>
      </c>
      <c r="E55" s="70">
        <f t="shared" si="26"/>
        <v>108.78660000000001</v>
      </c>
      <c r="F55" s="70">
        <f t="shared" si="26"/>
        <v>127.1127</v>
      </c>
      <c r="G55" s="70">
        <f t="shared" si="26"/>
        <v>110.2959</v>
      </c>
      <c r="H55" s="70">
        <f t="shared" si="26"/>
        <v>107.25975</v>
      </c>
      <c r="I55" s="70">
        <f t="shared" si="26"/>
        <v>105.16544999999999</v>
      </c>
      <c r="J55" s="70">
        <f t="shared" si="26"/>
        <v>94.883099999999999</v>
      </c>
      <c r="K55" s="70">
        <f t="shared" si="26"/>
        <v>118.32990000000001</v>
      </c>
      <c r="L55" s="70">
        <f t="shared" si="26"/>
        <v>92.626950000000008</v>
      </c>
      <c r="M55" s="70">
        <f t="shared" si="26"/>
        <v>112.44674999999999</v>
      </c>
      <c r="N55" s="70">
        <f t="shared" si="26"/>
        <v>93.523949999999999</v>
      </c>
      <c r="P55" s="319"/>
      <c r="Q55" s="142"/>
      <c r="R55" s="142"/>
    </row>
    <row r="56" spans="1:18" ht="12.75" x14ac:dyDescent="0.2">
      <c r="B56" s="305" t="s">
        <v>28</v>
      </c>
      <c r="C56" s="70">
        <f t="shared" ref="C56:N56" si="27">+C28*C42</f>
        <v>101.00197799999999</v>
      </c>
      <c r="D56" s="70">
        <f t="shared" si="27"/>
        <v>108.57904199999999</v>
      </c>
      <c r="E56" s="70">
        <f t="shared" si="27"/>
        <v>99.414215999999996</v>
      </c>
      <c r="F56" s="70">
        <f t="shared" si="27"/>
        <v>116.161452</v>
      </c>
      <c r="G56" s="70">
        <f t="shared" si="27"/>
        <v>100.79348399999999</v>
      </c>
      <c r="H56" s="70">
        <f t="shared" si="27"/>
        <v>98.018909999999991</v>
      </c>
      <c r="I56" s="70">
        <f t="shared" si="27"/>
        <v>96.105041999999983</v>
      </c>
      <c r="J56" s="70">
        <f t="shared" si="27"/>
        <v>86.708556000000002</v>
      </c>
      <c r="K56" s="70">
        <f t="shared" si="27"/>
        <v>108.13532400000001</v>
      </c>
      <c r="L56" s="70">
        <f t="shared" si="27"/>
        <v>84.646782000000002</v>
      </c>
      <c r="M56" s="70">
        <f t="shared" si="27"/>
        <v>102.75903</v>
      </c>
      <c r="N56" s="70">
        <f t="shared" si="27"/>
        <v>85.466502000000006</v>
      </c>
      <c r="P56" s="319"/>
      <c r="Q56" s="142"/>
      <c r="R56" s="142"/>
    </row>
    <row r="57" spans="1:18" ht="12.75" x14ac:dyDescent="0.2">
      <c r="B57" s="305" t="s">
        <v>39</v>
      </c>
      <c r="C57" s="70">
        <f t="shared" ref="C57:N57" si="28">+C29*C43</f>
        <v>0</v>
      </c>
      <c r="D57" s="70">
        <f t="shared" si="28"/>
        <v>0</v>
      </c>
      <c r="E57" s="70">
        <f t="shared" si="28"/>
        <v>0</v>
      </c>
      <c r="F57" s="70">
        <f t="shared" si="28"/>
        <v>0</v>
      </c>
      <c r="G57" s="70">
        <f t="shared" si="28"/>
        <v>0</v>
      </c>
      <c r="H57" s="70">
        <f t="shared" si="28"/>
        <v>0</v>
      </c>
      <c r="I57" s="70">
        <f t="shared" si="28"/>
        <v>0</v>
      </c>
      <c r="J57" s="70">
        <f t="shared" si="28"/>
        <v>0</v>
      </c>
      <c r="K57" s="70">
        <f t="shared" si="28"/>
        <v>0</v>
      </c>
      <c r="L57" s="70">
        <f t="shared" si="28"/>
        <v>0</v>
      </c>
      <c r="M57" s="70">
        <f t="shared" si="28"/>
        <v>0</v>
      </c>
      <c r="N57" s="70">
        <f t="shared" si="28"/>
        <v>0</v>
      </c>
      <c r="P57" s="319"/>
      <c r="Q57" s="142"/>
      <c r="R57" s="142"/>
    </row>
    <row r="58" spans="1:18" ht="12.75" x14ac:dyDescent="0.2">
      <c r="B58" s="305" t="s">
        <v>40</v>
      </c>
      <c r="C58" s="70">
        <f t="shared" ref="C58:N58" si="29">+C30*C44</f>
        <v>9.352034999999999</v>
      </c>
      <c r="D58" s="70">
        <f t="shared" si="29"/>
        <v>10.053614999999999</v>
      </c>
      <c r="E58" s="70">
        <f t="shared" si="29"/>
        <v>9.2050200000000011</v>
      </c>
      <c r="F58" s="70">
        <f t="shared" si="29"/>
        <v>10.755690000000001</v>
      </c>
      <c r="G58" s="70">
        <f t="shared" si="29"/>
        <v>9.3327299999999997</v>
      </c>
      <c r="H58" s="70">
        <f t="shared" si="29"/>
        <v>9.075825</v>
      </c>
      <c r="I58" s="70">
        <f t="shared" si="29"/>
        <v>8.8986149999999995</v>
      </c>
      <c r="J58" s="70">
        <f t="shared" si="29"/>
        <v>8.0285700000000002</v>
      </c>
      <c r="K58" s="70">
        <f t="shared" si="29"/>
        <v>10.012530000000002</v>
      </c>
      <c r="L58" s="70">
        <f t="shared" si="29"/>
        <v>7.8376650000000003</v>
      </c>
      <c r="M58" s="70">
        <f t="shared" si="29"/>
        <v>9.5147250000000003</v>
      </c>
      <c r="N58" s="70">
        <f t="shared" si="29"/>
        <v>7.9135650000000002</v>
      </c>
      <c r="P58" s="319"/>
      <c r="Q58" s="142"/>
    </row>
    <row r="59" spans="1:18" ht="12.75" x14ac:dyDescent="0.2">
      <c r="B59" s="305" t="s">
        <v>41</v>
      </c>
      <c r="C59" s="70">
        <f t="shared" ref="C59:N59" si="30">+C31*C45</f>
        <v>25.448871</v>
      </c>
      <c r="D59" s="70">
        <f t="shared" si="30"/>
        <v>27.358018999999999</v>
      </c>
      <c r="E59" s="70">
        <f t="shared" si="30"/>
        <v>25.048812000000002</v>
      </c>
      <c r="F59" s="70">
        <f t="shared" si="30"/>
        <v>29.268514000000003</v>
      </c>
      <c r="G59" s="70">
        <f t="shared" si="30"/>
        <v>25.396338</v>
      </c>
      <c r="H59" s="70">
        <f t="shared" si="30"/>
        <v>24.697244999999999</v>
      </c>
      <c r="I59" s="70">
        <f t="shared" si="30"/>
        <v>24.215018999999998</v>
      </c>
      <c r="J59" s="70">
        <f t="shared" si="30"/>
        <v>21.847442000000001</v>
      </c>
      <c r="K59" s="70">
        <f t="shared" si="30"/>
        <v>27.246218000000002</v>
      </c>
      <c r="L59" s="70">
        <f t="shared" si="30"/>
        <v>21.327949</v>
      </c>
      <c r="M59" s="70">
        <f t="shared" si="30"/>
        <v>25.891584999999999</v>
      </c>
      <c r="N59" s="70">
        <f t="shared" si="30"/>
        <v>21.534489000000001</v>
      </c>
      <c r="P59" s="319"/>
      <c r="Q59" s="142"/>
    </row>
    <row r="60" spans="1:18" ht="12.75" x14ac:dyDescent="0.2">
      <c r="B60" s="305" t="s">
        <v>42</v>
      </c>
      <c r="C60" s="95">
        <f t="shared" ref="C60:N60" si="31">+C32*C46</f>
        <v>4.2509249999999996</v>
      </c>
      <c r="D60" s="95">
        <f t="shared" si="31"/>
        <v>4.5698249999999998</v>
      </c>
      <c r="E60" s="95">
        <f t="shared" si="31"/>
        <v>4.1840999999999999</v>
      </c>
      <c r="F60" s="95">
        <f t="shared" si="31"/>
        <v>4.8889500000000004</v>
      </c>
      <c r="G60" s="95">
        <f t="shared" si="31"/>
        <v>4.2421499999999996</v>
      </c>
      <c r="H60" s="95">
        <f t="shared" si="31"/>
        <v>4.1253749999999991</v>
      </c>
      <c r="I60" s="95">
        <f t="shared" si="31"/>
        <v>4.0448249999999994</v>
      </c>
      <c r="J60" s="95">
        <f t="shared" si="31"/>
        <v>3.6493499999999996</v>
      </c>
      <c r="K60" s="95">
        <f t="shared" si="31"/>
        <v>4.5511499999999998</v>
      </c>
      <c r="L60" s="95">
        <f t="shared" si="31"/>
        <v>3.5625749999999998</v>
      </c>
      <c r="M60" s="95">
        <f t="shared" si="31"/>
        <v>4.3248749999999996</v>
      </c>
      <c r="N60" s="95">
        <f t="shared" si="31"/>
        <v>3.5970749999999998</v>
      </c>
      <c r="P60" s="319"/>
      <c r="Q60" s="142"/>
    </row>
    <row r="61" spans="1:18" ht="12.75" x14ac:dyDescent="0.2">
      <c r="B61" s="305" t="s">
        <v>43</v>
      </c>
      <c r="C61" s="70">
        <f t="shared" ref="C61:N61" si="32">+C33*C47</f>
        <v>0</v>
      </c>
      <c r="D61" s="70">
        <f t="shared" si="32"/>
        <v>0</v>
      </c>
      <c r="E61" s="70">
        <f t="shared" si="32"/>
        <v>0</v>
      </c>
      <c r="F61" s="70">
        <f t="shared" si="32"/>
        <v>0</v>
      </c>
      <c r="G61" s="70">
        <f t="shared" si="32"/>
        <v>0</v>
      </c>
      <c r="H61" s="70">
        <f t="shared" si="32"/>
        <v>0</v>
      </c>
      <c r="I61" s="70">
        <f t="shared" si="32"/>
        <v>0</v>
      </c>
      <c r="J61" s="70">
        <f t="shared" si="32"/>
        <v>0</v>
      </c>
      <c r="K61" s="70">
        <f t="shared" si="32"/>
        <v>0</v>
      </c>
      <c r="L61" s="70">
        <f t="shared" si="32"/>
        <v>0</v>
      </c>
      <c r="M61" s="70">
        <f t="shared" si="32"/>
        <v>0</v>
      </c>
      <c r="N61" s="70">
        <f t="shared" si="32"/>
        <v>0</v>
      </c>
      <c r="P61" s="319"/>
      <c r="Q61" s="142"/>
    </row>
    <row r="62" spans="1:18" x14ac:dyDescent="0.2">
      <c r="B62" s="305" t="s">
        <v>36</v>
      </c>
      <c r="C62" s="70">
        <f t="shared" ref="C62:N62" si="33">+C34*C48</f>
        <v>100.208472</v>
      </c>
      <c r="D62" s="70">
        <f t="shared" si="33"/>
        <v>107.72600799999999</v>
      </c>
      <c r="E62" s="70">
        <f t="shared" si="33"/>
        <v>98.633184</v>
      </c>
      <c r="F62" s="70">
        <f t="shared" si="33"/>
        <v>115.24884800000001</v>
      </c>
      <c r="G62" s="70">
        <f t="shared" si="33"/>
        <v>100.00161600000001</v>
      </c>
      <c r="H62" s="70">
        <f t="shared" si="33"/>
        <v>97.248840000000001</v>
      </c>
      <c r="I62" s="70">
        <f t="shared" si="33"/>
        <v>95.350008000000003</v>
      </c>
      <c r="J62" s="70">
        <f t="shared" si="33"/>
        <v>86.027343999999999</v>
      </c>
      <c r="K62" s="70">
        <f t="shared" si="33"/>
        <v>107.28577600000001</v>
      </c>
      <c r="L62" s="70">
        <f t="shared" si="33"/>
        <v>83.981768000000002</v>
      </c>
      <c r="M62" s="70">
        <f t="shared" si="33"/>
        <v>101.95172000000001</v>
      </c>
      <c r="N62" s="70">
        <f t="shared" si="33"/>
        <v>84.795048000000008</v>
      </c>
    </row>
    <row r="63" spans="1:18" x14ac:dyDescent="0.2">
      <c r="B63" s="305" t="s">
        <v>44</v>
      </c>
      <c r="C63" s="70">
        <f t="shared" ref="C63:N63" si="34">+C35*C49</f>
        <v>0</v>
      </c>
      <c r="D63" s="70">
        <f t="shared" si="34"/>
        <v>0</v>
      </c>
      <c r="E63" s="70">
        <f t="shared" si="34"/>
        <v>0</v>
      </c>
      <c r="F63" s="70">
        <f t="shared" si="34"/>
        <v>0</v>
      </c>
      <c r="G63" s="70">
        <f t="shared" si="34"/>
        <v>0</v>
      </c>
      <c r="H63" s="70">
        <f t="shared" si="34"/>
        <v>0</v>
      </c>
      <c r="I63" s="70">
        <f t="shared" si="34"/>
        <v>0</v>
      </c>
      <c r="J63" s="70">
        <f t="shared" si="34"/>
        <v>0</v>
      </c>
      <c r="K63" s="70">
        <f t="shared" si="34"/>
        <v>0</v>
      </c>
      <c r="L63" s="70">
        <f t="shared" si="34"/>
        <v>0</v>
      </c>
      <c r="M63" s="70">
        <f t="shared" si="34"/>
        <v>0</v>
      </c>
      <c r="N63" s="70">
        <f t="shared" si="34"/>
        <v>0</v>
      </c>
    </row>
    <row r="64" spans="1:18" x14ac:dyDescent="0.2">
      <c r="B64" s="305" t="s">
        <v>45</v>
      </c>
      <c r="C64" s="70">
        <f t="shared" ref="C64:N64" si="35">+C36*C50</f>
        <v>33.610647000000071</v>
      </c>
      <c r="D64" s="70">
        <f t="shared" si="35"/>
        <v>36.13208300000008</v>
      </c>
      <c r="E64" s="70">
        <f t="shared" si="35"/>
        <v>33.082284000000072</v>
      </c>
      <c r="F64" s="70">
        <f t="shared" si="35"/>
        <v>38.655298000000087</v>
      </c>
      <c r="G64" s="70">
        <f t="shared" si="35"/>
        <v>33.541266000000071</v>
      </c>
      <c r="H64" s="70">
        <f t="shared" si="35"/>
        <v>32.617965000000069</v>
      </c>
      <c r="I64" s="70">
        <f t="shared" si="35"/>
        <v>31.981083000000066</v>
      </c>
      <c r="J64" s="70">
        <f t="shared" si="35"/>
        <v>28.854194000000064</v>
      </c>
      <c r="K64" s="70">
        <f t="shared" si="35"/>
        <v>35.984426000000084</v>
      </c>
      <c r="L64" s="70">
        <f t="shared" si="35"/>
        <v>28.168093000000063</v>
      </c>
      <c r="M64" s="70">
        <f t="shared" si="35"/>
        <v>34.195345000000074</v>
      </c>
      <c r="N64" s="70">
        <f t="shared" si="35"/>
        <v>28.440873000000064</v>
      </c>
    </row>
    <row r="65" spans="1:21" x14ac:dyDescent="0.2">
      <c r="B65" s="305" t="s">
        <v>46</v>
      </c>
      <c r="C65" s="87">
        <f t="shared" ref="C65:N65" si="36">+C7-SUM(C55:C64)</f>
        <v>182.39302199999986</v>
      </c>
      <c r="D65" s="87">
        <f t="shared" si="36"/>
        <v>196.0759579999999</v>
      </c>
      <c r="E65" s="87">
        <f t="shared" si="36"/>
        <v>179.52578399999993</v>
      </c>
      <c r="F65" s="87">
        <f t="shared" si="36"/>
        <v>209.7685479999999</v>
      </c>
      <c r="G65" s="87">
        <f t="shared" si="36"/>
        <v>182.01651599999991</v>
      </c>
      <c r="H65" s="87">
        <f t="shared" si="36"/>
        <v>177.00608999999986</v>
      </c>
      <c r="I65" s="87">
        <f t="shared" si="36"/>
        <v>173.54995799999989</v>
      </c>
      <c r="J65" s="87">
        <f t="shared" si="36"/>
        <v>156.58144399999992</v>
      </c>
      <c r="K65" s="87">
        <f t="shared" si="36"/>
        <v>195.27467599999989</v>
      </c>
      <c r="L65" s="87">
        <f t="shared" si="36"/>
        <v>152.85821799999997</v>
      </c>
      <c r="M65" s="87">
        <f t="shared" si="36"/>
        <v>185.56596999999988</v>
      </c>
      <c r="N65" s="87">
        <f t="shared" si="36"/>
        <v>154.3384979999999</v>
      </c>
    </row>
    <row r="66" spans="1:21" ht="13.5" customHeight="1" x14ac:dyDescent="0.2">
      <c r="C66" s="70">
        <f t="shared" ref="C66:N66" si="37">SUM(C55:C65)</f>
        <v>566.79</v>
      </c>
      <c r="D66" s="70">
        <f t="shared" si="37"/>
        <v>609.30999999999995</v>
      </c>
      <c r="E66" s="70">
        <f t="shared" si="37"/>
        <v>557.88</v>
      </c>
      <c r="F66" s="70">
        <f t="shared" si="37"/>
        <v>651.86</v>
      </c>
      <c r="G66" s="70">
        <f t="shared" si="37"/>
        <v>565.62</v>
      </c>
      <c r="H66" s="70">
        <f t="shared" si="37"/>
        <v>550.04999999999995</v>
      </c>
      <c r="I66" s="70">
        <f t="shared" si="37"/>
        <v>539.30999999999995</v>
      </c>
      <c r="J66" s="70">
        <f t="shared" si="37"/>
        <v>486.58</v>
      </c>
      <c r="K66" s="70">
        <f t="shared" si="37"/>
        <v>606.82000000000005</v>
      </c>
      <c r="L66" s="70">
        <f t="shared" si="37"/>
        <v>475.01</v>
      </c>
      <c r="M66" s="70">
        <f t="shared" si="37"/>
        <v>576.65</v>
      </c>
      <c r="N66" s="70">
        <f t="shared" si="37"/>
        <v>479.61</v>
      </c>
    </row>
    <row r="67" spans="1:21" ht="9.75" customHeight="1" x14ac:dyDescent="0.2">
      <c r="P67" s="337" t="s">
        <v>80</v>
      </c>
      <c r="S67" s="339" t="s">
        <v>71</v>
      </c>
      <c r="T67" s="310" t="s">
        <v>69</v>
      </c>
    </row>
    <row r="68" spans="1:21" ht="12.75" x14ac:dyDescent="0.2">
      <c r="A68" s="338" t="s">
        <v>50</v>
      </c>
      <c r="P68" s="337" t="s">
        <v>75</v>
      </c>
      <c r="R68" s="305" t="s">
        <v>70</v>
      </c>
      <c r="S68" s="305" t="s">
        <v>219</v>
      </c>
      <c r="T68" s="336" t="str">
        <f>TEXT(C6,"mm/yy")&amp;" - "&amp;TEXT(N6,"mm/yy")</f>
        <v>05/16 - 04/17</v>
      </c>
      <c r="U68" s="305" t="s">
        <v>218</v>
      </c>
    </row>
    <row r="69" spans="1:21" ht="12" x14ac:dyDescent="0.2">
      <c r="B69" s="305" t="s">
        <v>24</v>
      </c>
      <c r="C69" s="97">
        <v>72.25</v>
      </c>
      <c r="D69" s="97">
        <v>75.63</v>
      </c>
      <c r="E69" s="97">
        <v>83.6</v>
      </c>
      <c r="F69" s="97">
        <v>93.37</v>
      </c>
      <c r="G69" s="141">
        <v>90.66</v>
      </c>
      <c r="H69" s="141">
        <v>88.47</v>
      </c>
      <c r="I69" s="97">
        <v>91.42</v>
      </c>
      <c r="J69" s="97">
        <v>90.152999999999992</v>
      </c>
      <c r="K69" s="97">
        <v>94.086999999999989</v>
      </c>
      <c r="L69" s="97">
        <v>111.29300000000001</v>
      </c>
      <c r="M69" s="97">
        <v>106.428</v>
      </c>
      <c r="N69" s="97">
        <v>61.02</v>
      </c>
      <c r="P69" s="335">
        <f t="shared" ref="P69:P79" si="38">AVERAGE(C69:N69)</f>
        <v>88.198416666666674</v>
      </c>
      <c r="R69" s="305" t="str">
        <f t="shared" ref="R69:R79" si="39">+B69</f>
        <v>ONP</v>
      </c>
      <c r="S69" s="132">
        <f>'[13]Single Family'!$N$69*'[13]Single Family'!$N$13</f>
        <v>13.357889999999999</v>
      </c>
      <c r="T69" s="133">
        <f t="shared" ref="T69:T79" si="40">P69*N13</f>
        <v>17.198691250000003</v>
      </c>
      <c r="U69" s="330">
        <f t="shared" ref="U69:U80" si="41">+T69-S69</f>
        <v>3.8408012500000037</v>
      </c>
    </row>
    <row r="70" spans="1:21" ht="12" x14ac:dyDescent="0.2">
      <c r="B70" s="305" t="s">
        <v>28</v>
      </c>
      <c r="C70" s="97">
        <v>87.8</v>
      </c>
      <c r="D70" s="97">
        <v>90.36</v>
      </c>
      <c r="E70" s="97">
        <v>101.52</v>
      </c>
      <c r="F70" s="97">
        <v>110.76</v>
      </c>
      <c r="G70" s="141">
        <v>99.86</v>
      </c>
      <c r="H70" s="141">
        <v>103.64</v>
      </c>
      <c r="I70" s="97">
        <v>110.66</v>
      </c>
      <c r="J70" s="97">
        <v>112.602</v>
      </c>
      <c r="K70" s="97">
        <v>119.57399999999998</v>
      </c>
      <c r="L70" s="97">
        <v>141.428</v>
      </c>
      <c r="M70" s="97">
        <v>156.905</v>
      </c>
      <c r="N70" s="97">
        <v>118.99</v>
      </c>
      <c r="P70" s="335">
        <f t="shared" si="38"/>
        <v>112.84158333333333</v>
      </c>
      <c r="R70" s="305" t="str">
        <f t="shared" si="39"/>
        <v>OCC</v>
      </c>
      <c r="S70" s="132">
        <f>'[13]Single Family'!$N$70*'[13]Single Family'!$N$14</f>
        <v>16.395825599999998</v>
      </c>
      <c r="T70" s="133">
        <f t="shared" si="40"/>
        <v>20.108370149999999</v>
      </c>
      <c r="U70" s="330">
        <f t="shared" si="41"/>
        <v>3.7125445500000005</v>
      </c>
    </row>
    <row r="71" spans="1:21" ht="12" x14ac:dyDescent="0.2">
      <c r="B71" s="305" t="s">
        <v>39</v>
      </c>
      <c r="C71" s="97">
        <v>0</v>
      </c>
      <c r="D71" s="97"/>
      <c r="E71" s="97"/>
      <c r="F71" s="97"/>
      <c r="G71" s="141"/>
      <c r="H71" s="141"/>
      <c r="I71" s="97"/>
      <c r="J71" s="97"/>
      <c r="K71" s="97"/>
      <c r="L71" s="97"/>
      <c r="M71" s="97"/>
      <c r="N71" s="97"/>
      <c r="P71" s="335">
        <f t="shared" si="38"/>
        <v>0</v>
      </c>
      <c r="R71" s="305" t="str">
        <f t="shared" si="39"/>
        <v>Magazines</v>
      </c>
      <c r="S71" s="132">
        <v>0</v>
      </c>
      <c r="T71" s="133">
        <f t="shared" si="40"/>
        <v>0</v>
      </c>
      <c r="U71" s="330">
        <f t="shared" si="41"/>
        <v>0</v>
      </c>
    </row>
    <row r="72" spans="1:21" ht="12" x14ac:dyDescent="0.2">
      <c r="B72" s="305" t="s">
        <v>40</v>
      </c>
      <c r="C72" s="97">
        <v>73.930000000000007</v>
      </c>
      <c r="D72" s="97">
        <v>64.900000000000006</v>
      </c>
      <c r="E72" s="97">
        <v>58.33</v>
      </c>
      <c r="F72" s="97">
        <v>59.25</v>
      </c>
      <c r="G72" s="141">
        <v>59.29</v>
      </c>
      <c r="H72" s="141">
        <v>52.472000000000001</v>
      </c>
      <c r="I72" s="97">
        <v>66.003</v>
      </c>
      <c r="J72" s="97">
        <v>67.542999999999992</v>
      </c>
      <c r="K72" s="97">
        <v>82.466999999999999</v>
      </c>
      <c r="L72" s="97">
        <v>73.513999999999996</v>
      </c>
      <c r="M72" s="97">
        <v>89.299000000000007</v>
      </c>
      <c r="N72" s="97">
        <v>77.78</v>
      </c>
      <c r="P72" s="335">
        <f t="shared" si="38"/>
        <v>68.731499999999997</v>
      </c>
      <c r="R72" s="305" t="str">
        <f t="shared" si="39"/>
        <v>Tin</v>
      </c>
      <c r="S72" s="132">
        <f>'[13]Single Family'!$N$72*'[13]Single Family'!$N$16</f>
        <v>0.88311299999999993</v>
      </c>
      <c r="T72" s="133">
        <f t="shared" si="40"/>
        <v>1.1340697500000001</v>
      </c>
      <c r="U72" s="330">
        <f t="shared" si="41"/>
        <v>0.25095675000000017</v>
      </c>
    </row>
    <row r="73" spans="1:21" ht="12" x14ac:dyDescent="0.2">
      <c r="B73" s="305" t="s">
        <v>41</v>
      </c>
      <c r="C73" s="97">
        <v>133.80000000000001</v>
      </c>
      <c r="D73" s="97">
        <v>129.44999999999999</v>
      </c>
      <c r="E73" s="97">
        <v>134.41</v>
      </c>
      <c r="F73" s="97">
        <v>130.41999999999999</v>
      </c>
      <c r="G73" s="141">
        <v>110.89</v>
      </c>
      <c r="H73" s="141">
        <v>100.65</v>
      </c>
      <c r="I73" s="97">
        <v>107.11</v>
      </c>
      <c r="J73" s="97">
        <v>99.483999999999995</v>
      </c>
      <c r="K73" s="97">
        <v>111.96499999999999</v>
      </c>
      <c r="L73" s="97">
        <v>125.03399999999999</v>
      </c>
      <c r="M73" s="97">
        <v>108.983</v>
      </c>
      <c r="N73" s="97">
        <v>100.86</v>
      </c>
      <c r="P73" s="335">
        <f t="shared" si="38"/>
        <v>116.08799999999997</v>
      </c>
      <c r="R73" s="305" t="str">
        <f t="shared" si="39"/>
        <v>Plastic</v>
      </c>
      <c r="S73" s="132">
        <f>'[13]Single Family'!$N$73*'[13]Single Family'!$N$17</f>
        <v>4.6139240000000008</v>
      </c>
      <c r="T73" s="133">
        <f t="shared" si="40"/>
        <v>5.2123511999999987</v>
      </c>
      <c r="U73" s="330">
        <f t="shared" si="41"/>
        <v>0.59842719999999794</v>
      </c>
    </row>
    <row r="74" spans="1:21" ht="12" x14ac:dyDescent="0.2">
      <c r="B74" s="305" t="s">
        <v>42</v>
      </c>
      <c r="C74" s="97">
        <v>798</v>
      </c>
      <c r="D74" s="97">
        <v>778.7</v>
      </c>
      <c r="E74" s="97">
        <v>777</v>
      </c>
      <c r="F74" s="97">
        <v>798</v>
      </c>
      <c r="G74" s="141">
        <v>784</v>
      </c>
      <c r="H74" s="141">
        <v>812</v>
      </c>
      <c r="I74" s="97">
        <v>836.49</v>
      </c>
      <c r="J74" s="97">
        <v>863.56899999999996</v>
      </c>
      <c r="K74" s="97">
        <v>886.43799999999987</v>
      </c>
      <c r="L74" s="97">
        <v>939.42799999999988</v>
      </c>
      <c r="M74" s="97">
        <v>960.31600000000003</v>
      </c>
      <c r="N74" s="97">
        <v>947.87</v>
      </c>
      <c r="P74" s="335">
        <f t="shared" si="38"/>
        <v>848.48425000000009</v>
      </c>
      <c r="R74" s="305" t="str">
        <f t="shared" si="39"/>
        <v>Aluminum</v>
      </c>
      <c r="S74" s="132">
        <f>'[13]Single Family'!$N$74*'[13]Single Family'!$N$18</f>
        <v>5.7225000000000001</v>
      </c>
      <c r="T74" s="133">
        <f t="shared" si="40"/>
        <v>6.3636318750000003</v>
      </c>
      <c r="U74" s="330">
        <f t="shared" si="41"/>
        <v>0.64113187500000013</v>
      </c>
    </row>
    <row r="75" spans="1:21" ht="12" x14ac:dyDescent="0.2">
      <c r="B75" s="305" t="s">
        <v>43</v>
      </c>
      <c r="C75" s="97">
        <v>0</v>
      </c>
      <c r="D75" s="97"/>
      <c r="E75" s="97"/>
      <c r="F75" s="97"/>
      <c r="G75" s="141"/>
      <c r="H75" s="141"/>
      <c r="I75" s="97"/>
      <c r="J75" s="97"/>
      <c r="K75" s="97"/>
      <c r="L75" s="97"/>
      <c r="M75" s="97"/>
      <c r="N75" s="97"/>
      <c r="P75" s="335">
        <f t="shared" si="38"/>
        <v>0</v>
      </c>
      <c r="R75" s="305" t="str">
        <f t="shared" si="39"/>
        <v>Ferris Metal</v>
      </c>
      <c r="S75" s="132">
        <v>0</v>
      </c>
      <c r="T75" s="133">
        <f t="shared" si="40"/>
        <v>0</v>
      </c>
      <c r="U75" s="330">
        <f t="shared" si="41"/>
        <v>0</v>
      </c>
    </row>
    <row r="76" spans="1:21" ht="12" x14ac:dyDescent="0.2">
      <c r="B76" s="305" t="s">
        <v>36</v>
      </c>
      <c r="C76" s="97">
        <v>-2.2000000000000002</v>
      </c>
      <c r="D76" s="97">
        <v>-7.81</v>
      </c>
      <c r="E76" s="97">
        <v>-8.0299999999999994</v>
      </c>
      <c r="F76" s="97">
        <v>-1.52</v>
      </c>
      <c r="G76" s="141">
        <v>-5.91</v>
      </c>
      <c r="H76" s="141">
        <v>-6.71</v>
      </c>
      <c r="I76" s="97">
        <v>-16.34</v>
      </c>
      <c r="J76" s="97">
        <v>-19.71</v>
      </c>
      <c r="K76" s="97">
        <v>-11</v>
      </c>
      <c r="L76" s="97">
        <v>-10.55</v>
      </c>
      <c r="M76" s="97">
        <v>-10.44</v>
      </c>
      <c r="N76" s="97">
        <v>-10.45</v>
      </c>
      <c r="P76" s="335">
        <f t="shared" si="38"/>
        <v>-9.2224999999999984</v>
      </c>
      <c r="R76" s="305" t="str">
        <f t="shared" si="39"/>
        <v>Sorted Glass</v>
      </c>
      <c r="S76" s="132">
        <f>'[13]Single Family'!$N$76*'[13]Single Family'!$N$20</f>
        <v>-1.1774880000000001</v>
      </c>
      <c r="T76" s="133">
        <f t="shared" si="40"/>
        <v>-1.6305379999999998</v>
      </c>
      <c r="U76" s="330">
        <f t="shared" si="41"/>
        <v>-0.45304999999999973</v>
      </c>
    </row>
    <row r="77" spans="1:21" ht="12" x14ac:dyDescent="0.2">
      <c r="B77" s="305" t="s">
        <v>44</v>
      </c>
      <c r="C77" s="97">
        <v>-120.17</v>
      </c>
      <c r="D77" s="97">
        <v>-120.17</v>
      </c>
      <c r="E77" s="97">
        <v>-120.17</v>
      </c>
      <c r="F77" s="97">
        <v>-120.17</v>
      </c>
      <c r="G77" s="141">
        <v>-120.17</v>
      </c>
      <c r="H77" s="141">
        <v>-120.17</v>
      </c>
      <c r="I77" s="97">
        <v>-120.17</v>
      </c>
      <c r="J77" s="97">
        <v>-120.17</v>
      </c>
      <c r="K77" s="97">
        <v>-120.17</v>
      </c>
      <c r="L77" s="97">
        <v>-120.17</v>
      </c>
      <c r="M77" s="97">
        <v>-134.59</v>
      </c>
      <c r="N77" s="97">
        <v>-134.59</v>
      </c>
      <c r="P77" s="335">
        <f t="shared" si="38"/>
        <v>-122.57333333333332</v>
      </c>
      <c r="R77" s="305" t="str">
        <f t="shared" si="39"/>
        <v>Glass Contamination</v>
      </c>
      <c r="S77" s="132">
        <f>'[14]Single Family'!$N$77*'[14]Single Family'!$N$21</f>
        <v>0</v>
      </c>
      <c r="T77" s="133">
        <f t="shared" si="40"/>
        <v>0</v>
      </c>
      <c r="U77" s="330">
        <f t="shared" si="41"/>
        <v>0</v>
      </c>
    </row>
    <row r="78" spans="1:21" ht="12" x14ac:dyDescent="0.2">
      <c r="B78" s="305" t="s">
        <v>45</v>
      </c>
      <c r="C78" s="97">
        <v>-120.17</v>
      </c>
      <c r="D78" s="97">
        <v>-120.17</v>
      </c>
      <c r="E78" s="97">
        <v>-120.17</v>
      </c>
      <c r="F78" s="97">
        <v>-120.17</v>
      </c>
      <c r="G78" s="141">
        <v>-120.17</v>
      </c>
      <c r="H78" s="141">
        <v>-120.17</v>
      </c>
      <c r="I78" s="97">
        <v>-120.17</v>
      </c>
      <c r="J78" s="97">
        <v>-120.17</v>
      </c>
      <c r="K78" s="97">
        <v>-120.17</v>
      </c>
      <c r="L78" s="97">
        <v>-120.17</v>
      </c>
      <c r="M78" s="97">
        <v>-134.59</v>
      </c>
      <c r="N78" s="97">
        <v>-134.59</v>
      </c>
      <c r="P78" s="335">
        <f t="shared" si="38"/>
        <v>-122.57333333333332</v>
      </c>
      <c r="R78" s="305" t="str">
        <f t="shared" si="39"/>
        <v>Trash</v>
      </c>
      <c r="S78" s="132">
        <f>'[14]Single Family'!$N$78*'[14]Single Family'!$N$22</f>
        <v>-7.1260810000000161</v>
      </c>
      <c r="T78" s="133">
        <f t="shared" si="40"/>
        <v>-7.2685986666666818</v>
      </c>
      <c r="U78" s="330">
        <f t="shared" si="41"/>
        <v>-0.14251766666666565</v>
      </c>
    </row>
    <row r="79" spans="1:21" ht="12.75" thickBot="1" x14ac:dyDescent="0.25">
      <c r="B79" s="305" t="s">
        <v>46</v>
      </c>
      <c r="C79" s="97">
        <v>69.38</v>
      </c>
      <c r="D79" s="97">
        <v>71.97</v>
      </c>
      <c r="E79" s="97">
        <v>78.17</v>
      </c>
      <c r="F79" s="97">
        <v>87.47</v>
      </c>
      <c r="G79" s="141">
        <v>77.81</v>
      </c>
      <c r="H79" s="141">
        <v>76.42</v>
      </c>
      <c r="I79" s="97">
        <v>81.59</v>
      </c>
      <c r="J79" s="97">
        <v>85.945999999999998</v>
      </c>
      <c r="K79" s="97">
        <v>80.394999999999996</v>
      </c>
      <c r="L79" s="97">
        <v>103.03299999999999</v>
      </c>
      <c r="M79" s="97">
        <v>102.494</v>
      </c>
      <c r="N79" s="97">
        <v>54.15</v>
      </c>
      <c r="O79" s="330">
        <f>SUM(C69:N79)</f>
        <v>12728.522999999996</v>
      </c>
      <c r="P79" s="335">
        <f t="shared" si="38"/>
        <v>80.735666666666674</v>
      </c>
      <c r="R79" s="305" t="str">
        <f t="shared" si="39"/>
        <v>Mixed Paper</v>
      </c>
      <c r="S79" s="132">
        <f>'[13]Single Family'!$N$79*'[13]Single Family'!$N$23</f>
        <v>20.604532199999998</v>
      </c>
      <c r="T79" s="133">
        <f t="shared" si="40"/>
        <v>25.980737533333333</v>
      </c>
      <c r="U79" s="330">
        <f t="shared" si="41"/>
        <v>5.3762053333333348</v>
      </c>
    </row>
    <row r="80" spans="1:21" ht="11.25" customHeight="1" thickBot="1" x14ac:dyDescent="0.25">
      <c r="R80" s="327" t="s">
        <v>72</v>
      </c>
      <c r="S80" s="135">
        <f>SUMPRODUCT('[13]Single Family'!$N$69:$N$79,'[13]Single Family'!$N$13:$N$23)</f>
        <v>53.274215799999979</v>
      </c>
      <c r="T80" s="136">
        <f>SUMPRODUCT(P69:P79,N13:N23)</f>
        <v>67.098715091666662</v>
      </c>
      <c r="U80" s="330">
        <f t="shared" si="41"/>
        <v>13.824499291666683</v>
      </c>
    </row>
    <row r="81" spans="1:20" x14ac:dyDescent="0.2">
      <c r="A81" s="327" t="s">
        <v>51</v>
      </c>
      <c r="Q81" s="332"/>
      <c r="R81" s="332"/>
      <c r="S81" s="332"/>
      <c r="T81" s="332"/>
    </row>
    <row r="82" spans="1:20" x14ac:dyDescent="0.2">
      <c r="B82" s="305" t="s">
        <v>24</v>
      </c>
      <c r="C82" s="73">
        <f t="shared" ref="C82:N82" si="42">+C69*C55</f>
        <v>7985.3626125000001</v>
      </c>
      <c r="D82" s="70">
        <f t="shared" si="42"/>
        <v>8986.0124834999988</v>
      </c>
      <c r="E82" s="70">
        <f t="shared" si="42"/>
        <v>9094.5597600000001</v>
      </c>
      <c r="F82" s="70">
        <f t="shared" si="42"/>
        <v>11868.512799</v>
      </c>
      <c r="G82" s="70">
        <f t="shared" si="42"/>
        <v>9999.4262940000008</v>
      </c>
      <c r="H82" s="70">
        <f t="shared" si="42"/>
        <v>9489.2700824999993</v>
      </c>
      <c r="I82" s="70">
        <f t="shared" si="42"/>
        <v>9614.2254389999998</v>
      </c>
      <c r="J82" s="70">
        <f t="shared" si="42"/>
        <v>8553.9961142999982</v>
      </c>
      <c r="K82" s="70">
        <f t="shared" si="42"/>
        <v>11133.305301299999</v>
      </c>
      <c r="L82" s="70">
        <f t="shared" si="42"/>
        <v>10308.731146350001</v>
      </c>
      <c r="M82" s="70">
        <f t="shared" si="42"/>
        <v>11967.482709</v>
      </c>
      <c r="N82" s="70">
        <f t="shared" si="42"/>
        <v>5706.8314289999998</v>
      </c>
      <c r="Q82" s="332" t="s">
        <v>73</v>
      </c>
      <c r="R82" s="332"/>
      <c r="S82" s="332"/>
      <c r="T82" s="334">
        <f>+T80-S80</f>
        <v>13.824499291666683</v>
      </c>
    </row>
    <row r="83" spans="1:20" x14ac:dyDescent="0.2">
      <c r="B83" s="305" t="s">
        <v>28</v>
      </c>
      <c r="C83" s="73">
        <f t="shared" ref="C83:N83" si="43">+C70*C56</f>
        <v>8867.9736684</v>
      </c>
      <c r="D83" s="70">
        <f t="shared" si="43"/>
        <v>9811.2022351199994</v>
      </c>
      <c r="E83" s="70">
        <f t="shared" si="43"/>
        <v>10092.531208319999</v>
      </c>
      <c r="F83" s="70">
        <f t="shared" si="43"/>
        <v>12866.042423520001</v>
      </c>
      <c r="G83" s="70">
        <f t="shared" si="43"/>
        <v>10065.237312239999</v>
      </c>
      <c r="H83" s="70">
        <f t="shared" si="43"/>
        <v>10158.679832399999</v>
      </c>
      <c r="I83" s="70">
        <f t="shared" si="43"/>
        <v>10634.983947719998</v>
      </c>
      <c r="J83" s="70">
        <f t="shared" si="43"/>
        <v>9763.5568227120002</v>
      </c>
      <c r="K83" s="70">
        <f t="shared" si="43"/>
        <v>12930.173231975999</v>
      </c>
      <c r="L83" s="70">
        <f t="shared" si="43"/>
        <v>11971.425084696</v>
      </c>
      <c r="M83" s="70">
        <f t="shared" si="43"/>
        <v>16123.40560215</v>
      </c>
      <c r="N83" s="70">
        <f t="shared" si="43"/>
        <v>10169.659072980001</v>
      </c>
      <c r="Q83" s="332" t="s">
        <v>217</v>
      </c>
      <c r="R83" s="332"/>
      <c r="S83" s="332"/>
      <c r="T83" s="145">
        <f>SUM(C7:N7, [21]Multi_Family!$C$7:$N$7,'[22]Single Family'!$C$7:$N$7, [23]Multi_Family!$C$7:$N$7, '[24]Single Family'!$C$7:$N$7, [25]Multi_Family!$C$7:$N$7)</f>
        <v>12933.199999999997</v>
      </c>
    </row>
    <row r="84" spans="1:20" x14ac:dyDescent="0.2">
      <c r="B84" s="305" t="s">
        <v>39</v>
      </c>
      <c r="C84" s="70">
        <f t="shared" ref="C84:D92" si="44">+C71*C57</f>
        <v>0</v>
      </c>
      <c r="D84" s="70">
        <f t="shared" si="44"/>
        <v>0</v>
      </c>
      <c r="E84" s="70" t="s">
        <v>77</v>
      </c>
      <c r="F84" s="70" t="s">
        <v>77</v>
      </c>
      <c r="G84" s="70" t="s">
        <v>77</v>
      </c>
      <c r="H84" s="70">
        <f t="shared" ref="H84:H92" si="45">+H71*H57</f>
        <v>0</v>
      </c>
      <c r="I84" s="70" t="s">
        <v>77</v>
      </c>
      <c r="J84" s="70" t="s">
        <v>77</v>
      </c>
      <c r="K84" s="70" t="s">
        <v>77</v>
      </c>
      <c r="L84" s="70" t="s">
        <v>77</v>
      </c>
      <c r="M84" s="70" t="s">
        <v>77</v>
      </c>
      <c r="N84" s="70" t="s">
        <v>77</v>
      </c>
      <c r="Q84" s="333" t="s">
        <v>216</v>
      </c>
      <c r="R84" s="333"/>
      <c r="S84" s="332"/>
      <c r="T84" s="148">
        <f>T83/8</f>
        <v>1616.6499999999996</v>
      </c>
    </row>
    <row r="85" spans="1:20" x14ac:dyDescent="0.2">
      <c r="B85" s="305" t="s">
        <v>40</v>
      </c>
      <c r="C85" s="73">
        <f t="shared" si="44"/>
        <v>691.39594754999996</v>
      </c>
      <c r="D85" s="70">
        <f t="shared" si="44"/>
        <v>652.47961350000003</v>
      </c>
      <c r="E85" s="70">
        <f t="shared" ref="E85:G87" si="46">+E72*E58</f>
        <v>536.9288166</v>
      </c>
      <c r="F85" s="70">
        <f t="shared" si="46"/>
        <v>637.27463250000005</v>
      </c>
      <c r="G85" s="70">
        <f t="shared" si="46"/>
        <v>553.33756169999992</v>
      </c>
      <c r="H85" s="70">
        <f t="shared" si="45"/>
        <v>476.2266894</v>
      </c>
      <c r="I85" s="70">
        <f t="shared" ref="I85:N87" si="47">+I72*I58</f>
        <v>587.33528584499993</v>
      </c>
      <c r="J85" s="70">
        <f t="shared" si="47"/>
        <v>542.2737035099999</v>
      </c>
      <c r="K85" s="70">
        <f t="shared" si="47"/>
        <v>825.70331151000016</v>
      </c>
      <c r="L85" s="70">
        <f t="shared" si="47"/>
        <v>576.17810481000004</v>
      </c>
      <c r="M85" s="70">
        <f t="shared" si="47"/>
        <v>849.65542777500013</v>
      </c>
      <c r="N85" s="70">
        <f t="shared" si="47"/>
        <v>615.51708570000005</v>
      </c>
      <c r="Q85" s="332" t="s">
        <v>74</v>
      </c>
      <c r="R85" s="332"/>
      <c r="S85" s="332"/>
      <c r="T85" s="147">
        <f>+T82*T83</f>
        <v>178795.01423898351</v>
      </c>
    </row>
    <row r="86" spans="1:20" x14ac:dyDescent="0.2">
      <c r="B86" s="305" t="s">
        <v>41</v>
      </c>
      <c r="C86" s="73">
        <f t="shared" si="44"/>
        <v>3405.0589398000002</v>
      </c>
      <c r="D86" s="70">
        <f t="shared" si="44"/>
        <v>3541.4955595499996</v>
      </c>
      <c r="E86" s="70">
        <f t="shared" si="46"/>
        <v>3366.81082092</v>
      </c>
      <c r="F86" s="70">
        <f t="shared" si="46"/>
        <v>3817.1995958799998</v>
      </c>
      <c r="G86" s="70">
        <f t="shared" si="46"/>
        <v>2816.19992082</v>
      </c>
      <c r="H86" s="70">
        <f t="shared" si="45"/>
        <v>2485.77770925</v>
      </c>
      <c r="I86" s="70">
        <f t="shared" si="47"/>
        <v>2593.67068509</v>
      </c>
      <c r="J86" s="70">
        <f t="shared" si="47"/>
        <v>2173.4709199280001</v>
      </c>
      <c r="K86" s="70">
        <f t="shared" si="47"/>
        <v>3050.6227983700001</v>
      </c>
      <c r="L86" s="70">
        <f t="shared" si="47"/>
        <v>2666.7187752659997</v>
      </c>
      <c r="M86" s="70">
        <f t="shared" si="47"/>
        <v>2821.7426080549999</v>
      </c>
      <c r="N86" s="70">
        <f t="shared" si="47"/>
        <v>2171.96856054</v>
      </c>
      <c r="Q86" s="332"/>
      <c r="R86" s="332"/>
      <c r="S86" s="332"/>
      <c r="T86" s="332"/>
    </row>
    <row r="87" spans="1:20" x14ac:dyDescent="0.2">
      <c r="B87" s="305" t="s">
        <v>42</v>
      </c>
      <c r="C87" s="73">
        <f t="shared" si="44"/>
        <v>3392.2381499999997</v>
      </c>
      <c r="D87" s="70">
        <f t="shared" si="44"/>
        <v>3558.5227275000002</v>
      </c>
      <c r="E87" s="70">
        <f t="shared" si="46"/>
        <v>3251.0457000000001</v>
      </c>
      <c r="F87" s="70">
        <f t="shared" si="46"/>
        <v>3901.3821000000003</v>
      </c>
      <c r="G87" s="70">
        <f t="shared" si="46"/>
        <v>3325.8455999999996</v>
      </c>
      <c r="H87" s="70">
        <f t="shared" si="45"/>
        <v>3349.8044999999993</v>
      </c>
      <c r="I87" s="70">
        <f t="shared" si="47"/>
        <v>3383.4556642499997</v>
      </c>
      <c r="J87" s="70">
        <f t="shared" si="47"/>
        <v>3151.4655301499997</v>
      </c>
      <c r="K87" s="70">
        <f t="shared" si="47"/>
        <v>4034.3123036999991</v>
      </c>
      <c r="L87" s="70">
        <f t="shared" si="47"/>
        <v>3346.7827070999992</v>
      </c>
      <c r="M87" s="70">
        <f t="shared" si="47"/>
        <v>4153.2466605</v>
      </c>
      <c r="N87" s="70">
        <f t="shared" si="47"/>
        <v>3409.55948025</v>
      </c>
    </row>
    <row r="88" spans="1:20" x14ac:dyDescent="0.2">
      <c r="B88" s="305" t="s">
        <v>43</v>
      </c>
      <c r="C88" s="73">
        <f t="shared" si="44"/>
        <v>0</v>
      </c>
      <c r="D88" s="70">
        <f t="shared" si="44"/>
        <v>0</v>
      </c>
      <c r="E88" s="70" t="s">
        <v>77</v>
      </c>
      <c r="F88" s="70" t="s">
        <v>77</v>
      </c>
      <c r="G88" s="70" t="s">
        <v>77</v>
      </c>
      <c r="H88" s="70">
        <f t="shared" si="45"/>
        <v>0</v>
      </c>
      <c r="I88" s="70" t="s">
        <v>77</v>
      </c>
      <c r="J88" s="70" t="s">
        <v>77</v>
      </c>
      <c r="K88" s="70" t="s">
        <v>77</v>
      </c>
      <c r="L88" s="70" t="s">
        <v>77</v>
      </c>
      <c r="M88" s="70" t="s">
        <v>77</v>
      </c>
      <c r="N88" s="70" t="s">
        <v>77</v>
      </c>
      <c r="P88" s="328"/>
      <c r="Q88" s="328"/>
    </row>
    <row r="89" spans="1:20" ht="12.75" x14ac:dyDescent="0.2">
      <c r="B89" s="305" t="s">
        <v>36</v>
      </c>
      <c r="C89" s="73">
        <f t="shared" si="44"/>
        <v>-220.45863840000001</v>
      </c>
      <c r="D89" s="70">
        <f t="shared" si="44"/>
        <v>-841.34012247999988</v>
      </c>
      <c r="E89" s="70">
        <f t="shared" ref="E89:G92" si="48">+E76*E62</f>
        <v>-792.02446751999992</v>
      </c>
      <c r="F89" s="70">
        <f t="shared" si="48"/>
        <v>-175.17824896000002</v>
      </c>
      <c r="G89" s="70">
        <f t="shared" si="48"/>
        <v>-591.00955056000009</v>
      </c>
      <c r="H89" s="70">
        <f t="shared" si="45"/>
        <v>-652.53971639999997</v>
      </c>
      <c r="I89" s="70">
        <f t="shared" ref="I89:N92" si="49">+I76*I62</f>
        <v>-1558.01913072</v>
      </c>
      <c r="J89" s="70">
        <f t="shared" si="49"/>
        <v>-1695.59895024</v>
      </c>
      <c r="K89" s="70">
        <f t="shared" si="49"/>
        <v>-1180.143536</v>
      </c>
      <c r="L89" s="70">
        <f t="shared" si="49"/>
        <v>-886.0076524000001</v>
      </c>
      <c r="M89" s="70">
        <f t="shared" si="49"/>
        <v>-1064.3759568</v>
      </c>
      <c r="N89" s="70">
        <f t="shared" si="49"/>
        <v>-886.10825160000002</v>
      </c>
      <c r="P89" s="319"/>
      <c r="Q89" s="328"/>
      <c r="R89" s="328"/>
      <c r="S89" s="328"/>
    </row>
    <row r="90" spans="1:20" ht="12.75" x14ac:dyDescent="0.2">
      <c r="B90" s="305" t="s">
        <v>44</v>
      </c>
      <c r="C90" s="73">
        <f t="shared" si="44"/>
        <v>0</v>
      </c>
      <c r="D90" s="70">
        <f t="shared" si="44"/>
        <v>0</v>
      </c>
      <c r="E90" s="70">
        <f t="shared" si="48"/>
        <v>0</v>
      </c>
      <c r="F90" s="70">
        <f t="shared" si="48"/>
        <v>0</v>
      </c>
      <c r="G90" s="70">
        <f t="shared" si="48"/>
        <v>0</v>
      </c>
      <c r="H90" s="70">
        <f t="shared" si="45"/>
        <v>0</v>
      </c>
      <c r="I90" s="70">
        <f t="shared" si="49"/>
        <v>0</v>
      </c>
      <c r="J90" s="70">
        <f t="shared" si="49"/>
        <v>0</v>
      </c>
      <c r="K90" s="70">
        <f t="shared" si="49"/>
        <v>0</v>
      </c>
      <c r="L90" s="70">
        <f t="shared" si="49"/>
        <v>0</v>
      </c>
      <c r="M90" s="70">
        <f t="shared" si="49"/>
        <v>0</v>
      </c>
      <c r="N90" s="70">
        <f t="shared" si="49"/>
        <v>0</v>
      </c>
      <c r="P90" s="319"/>
      <c r="Q90" s="328"/>
      <c r="R90" s="319"/>
      <c r="S90" s="328"/>
    </row>
    <row r="91" spans="1:20" ht="12.75" x14ac:dyDescent="0.2">
      <c r="B91" s="305" t="s">
        <v>45</v>
      </c>
      <c r="C91" s="73">
        <f t="shared" si="44"/>
        <v>-4038.9914499900087</v>
      </c>
      <c r="D91" s="70">
        <f t="shared" si="44"/>
        <v>-4341.99241411001</v>
      </c>
      <c r="E91" s="70">
        <f t="shared" si="48"/>
        <v>-3975.4980682800087</v>
      </c>
      <c r="F91" s="70">
        <f t="shared" si="48"/>
        <v>-4645.2071606600102</v>
      </c>
      <c r="G91" s="70">
        <f t="shared" si="48"/>
        <v>-4030.6539352200084</v>
      </c>
      <c r="H91" s="70">
        <f t="shared" si="45"/>
        <v>-3919.7008540500083</v>
      </c>
      <c r="I91" s="70">
        <f t="shared" si="49"/>
        <v>-3843.166744110008</v>
      </c>
      <c r="J91" s="70">
        <f t="shared" si="49"/>
        <v>-3467.4084929800078</v>
      </c>
      <c r="K91" s="70">
        <f t="shared" si="49"/>
        <v>-4324.2484724200103</v>
      </c>
      <c r="L91" s="70">
        <f t="shared" si="49"/>
        <v>-3384.9597358100077</v>
      </c>
      <c r="M91" s="70">
        <f t="shared" si="49"/>
        <v>-4602.35148355001</v>
      </c>
      <c r="N91" s="70">
        <f t="shared" si="49"/>
        <v>-3827.8570970700089</v>
      </c>
      <c r="P91" s="319"/>
      <c r="Q91" s="328"/>
      <c r="R91" s="319"/>
      <c r="S91" s="328"/>
    </row>
    <row r="92" spans="1:20" ht="12.75" x14ac:dyDescent="0.2">
      <c r="B92" s="305" t="s">
        <v>46</v>
      </c>
      <c r="C92" s="98">
        <f t="shared" si="44"/>
        <v>12654.427866359989</v>
      </c>
      <c r="D92" s="87">
        <f t="shared" si="44"/>
        <v>14111.586697259992</v>
      </c>
      <c r="E92" s="87">
        <f t="shared" si="48"/>
        <v>14033.530535279995</v>
      </c>
      <c r="F92" s="87">
        <f t="shared" si="48"/>
        <v>18348.454893559992</v>
      </c>
      <c r="G92" s="87">
        <f t="shared" si="48"/>
        <v>14162.705109959994</v>
      </c>
      <c r="H92" s="70">
        <f t="shared" si="45"/>
        <v>13526.80539779999</v>
      </c>
      <c r="I92" s="87">
        <f t="shared" si="49"/>
        <v>14159.941073219992</v>
      </c>
      <c r="J92" s="87">
        <f t="shared" si="49"/>
        <v>13457.548786023992</v>
      </c>
      <c r="K92" s="70">
        <f t="shared" si="49"/>
        <v>15699.10757701999</v>
      </c>
      <c r="L92" s="70">
        <f t="shared" si="49"/>
        <v>15749.440775193994</v>
      </c>
      <c r="M92" s="70">
        <f t="shared" si="49"/>
        <v>19019.398529179987</v>
      </c>
      <c r="N92" s="70">
        <f t="shared" si="49"/>
        <v>8357.4296666999944</v>
      </c>
      <c r="P92" s="319"/>
      <c r="Q92" s="328"/>
      <c r="R92" s="319"/>
      <c r="S92" s="328"/>
    </row>
    <row r="93" spans="1:20" ht="12.75" x14ac:dyDescent="0.2">
      <c r="A93" s="327" t="s">
        <v>52</v>
      </c>
      <c r="B93" s="327"/>
      <c r="C93" s="177">
        <f t="shared" ref="C93:N93" si="50">SUM(C82:C92)</f>
        <v>32737.007096219982</v>
      </c>
      <c r="D93" s="178">
        <f t="shared" si="50"/>
        <v>35477.966779839982</v>
      </c>
      <c r="E93" s="178">
        <f t="shared" si="50"/>
        <v>35607.884305319982</v>
      </c>
      <c r="F93" s="178">
        <f t="shared" si="50"/>
        <v>46618.481034839984</v>
      </c>
      <c r="G93" s="178">
        <f t="shared" si="50"/>
        <v>36301.088312939981</v>
      </c>
      <c r="H93" s="178">
        <f t="shared" si="50"/>
        <v>34914.323640899973</v>
      </c>
      <c r="I93" s="178">
        <f t="shared" si="50"/>
        <v>35572.426220294983</v>
      </c>
      <c r="J93" s="178">
        <f t="shared" si="50"/>
        <v>32479.304433403981</v>
      </c>
      <c r="K93" s="179">
        <f t="shared" si="50"/>
        <v>42168.832515455979</v>
      </c>
      <c r="L93" s="179">
        <f t="shared" si="50"/>
        <v>40348.30920520598</v>
      </c>
      <c r="M93" s="179">
        <f t="shared" si="50"/>
        <v>49268.204096309972</v>
      </c>
      <c r="N93" s="179">
        <f t="shared" si="50"/>
        <v>25716.999946499989</v>
      </c>
      <c r="O93" s="330">
        <f>SUM(C93:N93)</f>
        <v>447210.82758723077</v>
      </c>
      <c r="P93" s="331">
        <f>O93/2</f>
        <v>223605.41379361539</v>
      </c>
      <c r="Q93" s="328"/>
      <c r="R93" s="319"/>
      <c r="S93" s="328"/>
    </row>
    <row r="94" spans="1:20" ht="12.75" x14ac:dyDescent="0.2">
      <c r="A94" s="327" t="s">
        <v>53</v>
      </c>
      <c r="B94" s="327"/>
      <c r="C94" s="177">
        <f t="shared" ref="C94:N94" si="51">+C93/C66</f>
        <v>57.75861799999997</v>
      </c>
      <c r="D94" s="178">
        <f t="shared" si="51"/>
        <v>58.226463999999979</v>
      </c>
      <c r="E94" s="178">
        <f t="shared" si="51"/>
        <v>63.827138999999967</v>
      </c>
      <c r="F94" s="178">
        <f t="shared" si="51"/>
        <v>71.516093999999981</v>
      </c>
      <c r="G94" s="178">
        <f t="shared" si="51"/>
        <v>64.17928699999996</v>
      </c>
      <c r="H94" s="178">
        <f t="shared" si="51"/>
        <v>63.474817999999956</v>
      </c>
      <c r="I94" s="178">
        <f t="shared" si="51"/>
        <v>65.959144499999979</v>
      </c>
      <c r="J94" s="178">
        <f t="shared" si="51"/>
        <v>66.750183799999959</v>
      </c>
      <c r="K94" s="70">
        <f t="shared" si="51"/>
        <v>69.491500799999955</v>
      </c>
      <c r="L94" s="70">
        <f t="shared" si="51"/>
        <v>84.942020599999964</v>
      </c>
      <c r="M94" s="70">
        <f t="shared" si="51"/>
        <v>85.438661399999958</v>
      </c>
      <c r="N94" s="70">
        <f t="shared" si="51"/>
        <v>53.620649999999976</v>
      </c>
      <c r="P94" s="319"/>
      <c r="Q94" s="328"/>
      <c r="R94" s="319"/>
      <c r="S94" s="328"/>
    </row>
    <row r="95" spans="1:20" ht="11.25" customHeight="1" x14ac:dyDescent="0.2">
      <c r="C95" s="330">
        <f t="shared" ref="C95:N95" si="52">C94/2</f>
        <v>28.879308999999985</v>
      </c>
      <c r="D95" s="330">
        <f t="shared" si="52"/>
        <v>29.113231999999989</v>
      </c>
      <c r="E95" s="330">
        <f t="shared" si="52"/>
        <v>31.913569499999983</v>
      </c>
      <c r="F95" s="330">
        <f t="shared" si="52"/>
        <v>35.758046999999991</v>
      </c>
      <c r="G95" s="330">
        <f t="shared" si="52"/>
        <v>32.08964349999998</v>
      </c>
      <c r="H95" s="330">
        <f t="shared" si="52"/>
        <v>31.737408999999978</v>
      </c>
      <c r="I95" s="330">
        <f t="shared" si="52"/>
        <v>32.97957224999999</v>
      </c>
      <c r="J95" s="330">
        <f t="shared" si="52"/>
        <v>33.37509189999998</v>
      </c>
      <c r="K95" s="330">
        <f t="shared" si="52"/>
        <v>34.745750399999977</v>
      </c>
      <c r="L95" s="330">
        <f t="shared" si="52"/>
        <v>42.471010299999982</v>
      </c>
      <c r="M95" s="330">
        <f t="shared" si="52"/>
        <v>42.719330699999979</v>
      </c>
      <c r="N95" s="330">
        <f t="shared" si="52"/>
        <v>26.810324999999988</v>
      </c>
      <c r="P95" s="319"/>
      <c r="Q95" s="328"/>
      <c r="R95" s="319"/>
      <c r="S95" s="328"/>
    </row>
    <row r="96" spans="1:20" ht="12.75" x14ac:dyDescent="0.2">
      <c r="A96" s="327"/>
      <c r="C96" s="330">
        <f t="shared" ref="C96:N96" si="53">C94</f>
        <v>57.75861799999997</v>
      </c>
      <c r="D96" s="330">
        <f t="shared" si="53"/>
        <v>58.226463999999979</v>
      </c>
      <c r="E96" s="330">
        <f t="shared" si="53"/>
        <v>63.827138999999967</v>
      </c>
      <c r="F96" s="330">
        <f t="shared" si="53"/>
        <v>71.516093999999981</v>
      </c>
      <c r="G96" s="330">
        <f t="shared" si="53"/>
        <v>64.17928699999996</v>
      </c>
      <c r="H96" s="330">
        <f t="shared" si="53"/>
        <v>63.474817999999956</v>
      </c>
      <c r="I96" s="330">
        <f t="shared" si="53"/>
        <v>65.959144499999979</v>
      </c>
      <c r="J96" s="330">
        <f t="shared" si="53"/>
        <v>66.750183799999959</v>
      </c>
      <c r="K96" s="330">
        <f t="shared" si="53"/>
        <v>69.491500799999955</v>
      </c>
      <c r="L96" s="330">
        <f t="shared" si="53"/>
        <v>84.942020599999964</v>
      </c>
      <c r="M96" s="330">
        <f t="shared" si="53"/>
        <v>85.438661399999958</v>
      </c>
      <c r="N96" s="330">
        <f t="shared" si="53"/>
        <v>53.620649999999976</v>
      </c>
      <c r="P96" s="319"/>
      <c r="Q96" s="328"/>
      <c r="R96" s="319"/>
      <c r="S96" s="328"/>
    </row>
    <row r="97" spans="1:19" ht="12.75" x14ac:dyDescent="0.2">
      <c r="C97" s="103">
        <f t="shared" ref="C97:N97" si="54">C96*0.7</f>
        <v>40.431032599999973</v>
      </c>
      <c r="D97" s="103">
        <f t="shared" si="54"/>
        <v>40.758524799999982</v>
      </c>
      <c r="E97" s="103">
        <f t="shared" si="54"/>
        <v>44.678997299999978</v>
      </c>
      <c r="F97" s="103">
        <f t="shared" si="54"/>
        <v>50.061265799999987</v>
      </c>
      <c r="G97" s="103">
        <f t="shared" si="54"/>
        <v>44.925500899999967</v>
      </c>
      <c r="H97" s="103">
        <f t="shared" si="54"/>
        <v>44.432372599999965</v>
      </c>
      <c r="I97" s="103">
        <f t="shared" si="54"/>
        <v>46.17140114999998</v>
      </c>
      <c r="J97" s="103">
        <f t="shared" si="54"/>
        <v>46.725128659999967</v>
      </c>
      <c r="K97" s="103">
        <f t="shared" si="54"/>
        <v>48.644050559999968</v>
      </c>
      <c r="L97" s="103">
        <f t="shared" si="54"/>
        <v>59.459414419999973</v>
      </c>
      <c r="M97" s="103">
        <f t="shared" si="54"/>
        <v>59.807062979999969</v>
      </c>
      <c r="N97" s="103">
        <f t="shared" si="54"/>
        <v>37.53445499999998</v>
      </c>
      <c r="P97" s="328"/>
      <c r="Q97" s="328"/>
      <c r="R97" s="319"/>
      <c r="S97" s="328"/>
    </row>
    <row r="98" spans="1:19" x14ac:dyDescent="0.2">
      <c r="A98" s="327"/>
      <c r="B98" s="327"/>
      <c r="C98" s="177"/>
      <c r="D98" s="177"/>
      <c r="E98" s="177"/>
      <c r="F98" s="177"/>
      <c r="G98" s="177"/>
      <c r="H98" s="177"/>
      <c r="I98" s="177"/>
      <c r="J98" s="329"/>
    </row>
    <row r="99" spans="1:19" ht="8.1" customHeight="1" x14ac:dyDescent="0.2">
      <c r="C99" s="328"/>
      <c r="D99" s="328"/>
      <c r="E99" s="328"/>
      <c r="F99" s="328"/>
      <c r="G99" s="328"/>
      <c r="H99" s="328"/>
      <c r="I99" s="328"/>
      <c r="J99" s="328"/>
    </row>
    <row r="100" spans="1:19" x14ac:dyDescent="0.2">
      <c r="A100" s="327"/>
      <c r="B100" s="327"/>
      <c r="C100" s="329"/>
      <c r="D100" s="329"/>
      <c r="E100" s="329"/>
      <c r="F100" s="329"/>
      <c r="G100" s="329"/>
      <c r="H100" s="329"/>
      <c r="I100" s="329"/>
      <c r="J100" s="329"/>
    </row>
    <row r="101" spans="1:19" ht="8.1" customHeight="1" x14ac:dyDescent="0.2">
      <c r="C101" s="328"/>
      <c r="D101" s="328"/>
      <c r="E101" s="328"/>
      <c r="F101" s="328"/>
      <c r="G101" s="328"/>
      <c r="H101" s="328"/>
      <c r="I101" s="328"/>
      <c r="J101" s="328"/>
    </row>
    <row r="102" spans="1:19" x14ac:dyDescent="0.2">
      <c r="A102" s="327"/>
      <c r="C102" s="103"/>
      <c r="D102" s="103"/>
      <c r="E102" s="103"/>
      <c r="F102" s="103"/>
      <c r="G102" s="103"/>
      <c r="H102" s="103"/>
      <c r="I102" s="103"/>
      <c r="J102" s="106"/>
    </row>
  </sheetData>
  <pageMargins left="0.25" right="0.25" top="0.75" bottom="0.75" header="0.3" footer="0.3"/>
  <pageSetup scale="58" fitToWidth="0" orientation="portrait" r:id="rId1"/>
  <headerFooter alignWithMargins="0"/>
  <rowBreaks count="1" manualBreakCount="1">
    <brk id="53" max="14" man="1"/>
  </rowBreaks>
  <drawing r:id="rId2"/>
  <legacy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76"/>
  <sheetViews>
    <sheetView topLeftCell="A2" workbookViewId="0">
      <selection activeCell="I28" sqref="I28"/>
    </sheetView>
  </sheetViews>
  <sheetFormatPr defaultRowHeight="12.75" x14ac:dyDescent="0.2"/>
  <cols>
    <col min="1" max="1" width="7" bestFit="1" customWidth="1"/>
    <col min="2" max="2" width="22.85546875" bestFit="1" customWidth="1"/>
    <col min="3" max="3" width="18.28515625" bestFit="1" customWidth="1"/>
    <col min="4" max="4" width="16.5703125" bestFit="1" customWidth="1"/>
    <col min="5" max="5" width="12.28515625" bestFit="1" customWidth="1"/>
    <col min="6" max="6" width="18.140625" bestFit="1" customWidth="1"/>
  </cols>
  <sheetData>
    <row r="1" spans="1:6" x14ac:dyDescent="0.2">
      <c r="A1" s="391" t="s">
        <v>159</v>
      </c>
      <c r="B1" s="391"/>
      <c r="C1" s="391"/>
      <c r="D1" s="391"/>
      <c r="E1" s="391"/>
      <c r="F1" s="391"/>
    </row>
    <row r="2" spans="1:6" ht="15" x14ac:dyDescent="0.25">
      <c r="A2" s="392" t="s">
        <v>2</v>
      </c>
      <c r="B2" s="392"/>
      <c r="C2" s="392"/>
      <c r="D2" s="272"/>
    </row>
    <row r="3" spans="1:6" ht="90" x14ac:dyDescent="0.25">
      <c r="A3" s="272"/>
      <c r="B3" s="272"/>
      <c r="C3" s="272" t="s">
        <v>160</v>
      </c>
      <c r="D3" s="272" t="s">
        <v>161</v>
      </c>
      <c r="E3" s="273" t="s">
        <v>162</v>
      </c>
      <c r="F3" s="273" t="s">
        <v>163</v>
      </c>
    </row>
    <row r="4" spans="1:6" x14ac:dyDescent="0.2">
      <c r="A4" s="293">
        <v>160806</v>
      </c>
      <c r="B4" s="293" t="s">
        <v>164</v>
      </c>
      <c r="C4" s="294">
        <v>219206.53</v>
      </c>
      <c r="D4" s="295">
        <f>C4*0.5</f>
        <v>109603.265</v>
      </c>
      <c r="E4" s="295">
        <f>(D4/($D$4+$D$5+$D$6+$D$13+$D$14+$D$15))*$E$32</f>
        <v>109509.23868908605</v>
      </c>
      <c r="F4" s="295">
        <f>C4-E4</f>
        <v>109697.29131091395</v>
      </c>
    </row>
    <row r="5" spans="1:6" x14ac:dyDescent="0.2">
      <c r="A5" s="293">
        <v>160807</v>
      </c>
      <c r="B5" s="293" t="s">
        <v>165</v>
      </c>
      <c r="C5" s="294">
        <v>352005.81</v>
      </c>
      <c r="D5" s="295">
        <f t="shared" ref="D5:D7" si="0">C5*0.5</f>
        <v>176002.905</v>
      </c>
      <c r="E5" s="295">
        <f>(D5/($D$4+$D$5+$D$6+$D$13+$D$14+$D$15))*$E$32</f>
        <v>175851.91584956466</v>
      </c>
      <c r="F5" s="295">
        <f t="shared" ref="F5:F7" si="1">C5-E5</f>
        <v>176153.89415043534</v>
      </c>
    </row>
    <row r="6" spans="1:6" x14ac:dyDescent="0.2">
      <c r="A6" s="293">
        <v>160813</v>
      </c>
      <c r="B6" s="293" t="s">
        <v>155</v>
      </c>
      <c r="C6" s="294">
        <v>72871.23</v>
      </c>
      <c r="D6" s="295">
        <f t="shared" si="0"/>
        <v>36435.614999999998</v>
      </c>
      <c r="E6" s="295">
        <f>(D6/($D$4+$D$5+$D$6+$D$13+$D$14+$D$15))*$E$32</f>
        <v>36404.357660500747</v>
      </c>
      <c r="F6" s="295">
        <f t="shared" si="1"/>
        <v>36466.872339499248</v>
      </c>
    </row>
    <row r="7" spans="1:6" x14ac:dyDescent="0.2">
      <c r="A7" s="274">
        <v>160810</v>
      </c>
      <c r="B7" s="274" t="s">
        <v>166</v>
      </c>
      <c r="C7" s="275">
        <v>310903.52</v>
      </c>
      <c r="D7" s="276">
        <f t="shared" si="0"/>
        <v>155451.76</v>
      </c>
      <c r="E7" s="276">
        <f>(D7/($D$7+$D$16))*$E$44</f>
        <v>151664.75962237545</v>
      </c>
      <c r="F7" s="276">
        <f t="shared" si="1"/>
        <v>159238.76037762457</v>
      </c>
    </row>
    <row r="8" spans="1:6" x14ac:dyDescent="0.2">
      <c r="B8" s="296" t="s">
        <v>167</v>
      </c>
      <c r="C8" s="296">
        <f>SUM(C4:C6)</f>
        <v>644083.56999999995</v>
      </c>
      <c r="D8" s="296">
        <f>SUM(D4:D6)</f>
        <v>322041.78499999997</v>
      </c>
      <c r="E8" s="296">
        <f>SUM(E4:E6)</f>
        <v>321765.51219915145</v>
      </c>
      <c r="F8" s="296">
        <f>SUM(F4:F6)</f>
        <v>322318.05780084856</v>
      </c>
    </row>
    <row r="9" spans="1:6" x14ac:dyDescent="0.2">
      <c r="B9" s="298" t="s">
        <v>168</v>
      </c>
      <c r="C9" s="298">
        <f>C7</f>
        <v>310903.52</v>
      </c>
      <c r="D9" s="298">
        <f>D7</f>
        <v>155451.76</v>
      </c>
      <c r="E9" s="298">
        <f t="shared" ref="E9:F9" si="2">E7</f>
        <v>151664.75962237545</v>
      </c>
      <c r="F9" s="298">
        <f t="shared" si="2"/>
        <v>159238.76037762457</v>
      </c>
    </row>
    <row r="10" spans="1:6" x14ac:dyDescent="0.2">
      <c r="B10" t="s">
        <v>30</v>
      </c>
      <c r="C10" s="278">
        <f>SUM(C8:C9)</f>
        <v>954987.09</v>
      </c>
      <c r="D10" s="278">
        <f t="shared" ref="D10:F10" si="3">SUM(D8:D9)</f>
        <v>477493.54499999998</v>
      </c>
      <c r="E10" s="278">
        <f t="shared" si="3"/>
        <v>473430.27182152693</v>
      </c>
      <c r="F10" s="278">
        <f t="shared" si="3"/>
        <v>481556.81817847316</v>
      </c>
    </row>
    <row r="11" spans="1:6" ht="15" x14ac:dyDescent="0.25">
      <c r="A11" s="392" t="s">
        <v>169</v>
      </c>
      <c r="B11" s="392"/>
      <c r="C11" s="392"/>
      <c r="D11" s="272"/>
    </row>
    <row r="12" spans="1:6" ht="15" x14ac:dyDescent="0.25">
      <c r="A12" s="272"/>
      <c r="B12" s="272"/>
      <c r="C12" s="272" t="s">
        <v>160</v>
      </c>
      <c r="D12" s="272" t="s">
        <v>170</v>
      </c>
    </row>
    <row r="13" spans="1:6" x14ac:dyDescent="0.2">
      <c r="A13" s="293">
        <v>160806</v>
      </c>
      <c r="B13" s="293" t="s">
        <v>164</v>
      </c>
      <c r="C13" s="294">
        <v>27466.12</v>
      </c>
      <c r="D13" s="295">
        <f>C13*0.5</f>
        <v>13733.06</v>
      </c>
      <c r="E13" s="295">
        <f>(D13/($D$4+$D$5+$D$6+$D$13+$D$14+$D$15))*$E$32</f>
        <v>13721.27869978636</v>
      </c>
      <c r="F13" s="295">
        <f>C13-E13</f>
        <v>13744.841300213639</v>
      </c>
    </row>
    <row r="14" spans="1:6" x14ac:dyDescent="0.2">
      <c r="A14" s="293">
        <v>160807</v>
      </c>
      <c r="B14" s="293" t="s">
        <v>165</v>
      </c>
      <c r="C14" s="294">
        <v>3963.92</v>
      </c>
      <c r="D14" s="295">
        <f t="shared" ref="D14:D16" si="4">C14*0.5</f>
        <v>1981.96</v>
      </c>
      <c r="E14" s="295">
        <f>(D14/($D$4+$D$5+$D$6+$D$13+$D$14+$D$15))*$E$32</f>
        <v>1980.259718651821</v>
      </c>
      <c r="F14" s="295">
        <f t="shared" ref="F14:F16" si="5">C14-E14</f>
        <v>1983.6602813481791</v>
      </c>
    </row>
    <row r="15" spans="1:6" x14ac:dyDescent="0.2">
      <c r="A15" s="293">
        <v>160813</v>
      </c>
      <c r="B15" s="293" t="s">
        <v>155</v>
      </c>
      <c r="C15" s="294">
        <v>8911.7900000000009</v>
      </c>
      <c r="D15" s="295">
        <f t="shared" si="4"/>
        <v>4455.8950000000004</v>
      </c>
      <c r="E15" s="295">
        <f>(D15/($D$4+$D$5+$D$6+$D$13+$D$14+$D$15))*$E$32</f>
        <v>4452.0723824103698</v>
      </c>
      <c r="F15" s="295">
        <f t="shared" si="5"/>
        <v>4459.7176175896311</v>
      </c>
    </row>
    <row r="16" spans="1:6" x14ac:dyDescent="0.2">
      <c r="A16" s="274">
        <v>160810</v>
      </c>
      <c r="B16" s="274" t="s">
        <v>166</v>
      </c>
      <c r="C16" s="275">
        <v>56638.26</v>
      </c>
      <c r="D16" s="276">
        <f t="shared" si="4"/>
        <v>28319.13</v>
      </c>
      <c r="E16" s="276">
        <f>(D16/($D$7+$D$16))*$E$44</f>
        <v>27629.240377624552</v>
      </c>
      <c r="F16" s="276">
        <f t="shared" si="5"/>
        <v>29009.01962237545</v>
      </c>
    </row>
    <row r="17" spans="1:6" x14ac:dyDescent="0.2">
      <c r="B17" s="296" t="s">
        <v>167</v>
      </c>
      <c r="C17" s="296">
        <f>SUM(C13:C16)</f>
        <v>96980.09</v>
      </c>
      <c r="D17" s="296">
        <f>SUM(D13:D16)</f>
        <v>48490.044999999998</v>
      </c>
      <c r="E17" s="296">
        <f>SUM(E13:E15)</f>
        <v>20153.610800848553</v>
      </c>
      <c r="F17" s="296">
        <f>SUM(F13:F15)</f>
        <v>20188.219199151448</v>
      </c>
    </row>
    <row r="18" spans="1:6" x14ac:dyDescent="0.2">
      <c r="B18" s="298" t="s">
        <v>168</v>
      </c>
      <c r="C18" s="298">
        <f>C16</f>
        <v>56638.26</v>
      </c>
      <c r="D18" s="298">
        <f t="shared" ref="D18:F18" si="6">D16</f>
        <v>28319.13</v>
      </c>
      <c r="E18" s="298">
        <f t="shared" si="6"/>
        <v>27629.240377624552</v>
      </c>
      <c r="F18" s="298">
        <f t="shared" si="6"/>
        <v>29009.01962237545</v>
      </c>
    </row>
    <row r="19" spans="1:6" x14ac:dyDescent="0.2">
      <c r="B19" t="s">
        <v>30</v>
      </c>
      <c r="C19" s="278">
        <f>SUM(C17:C18)</f>
        <v>153618.35</v>
      </c>
      <c r="D19" s="278">
        <f t="shared" ref="D19:F19" si="7">SUM(D17:D18)</f>
        <v>76809.175000000003</v>
      </c>
      <c r="E19" s="278">
        <f t="shared" si="7"/>
        <v>47782.851178473109</v>
      </c>
      <c r="F19" s="278">
        <f t="shared" si="7"/>
        <v>49197.238821526902</v>
      </c>
    </row>
    <row r="20" spans="1:6" ht="15.75" thickBot="1" x14ac:dyDescent="0.3">
      <c r="B20" s="279" t="s">
        <v>171</v>
      </c>
      <c r="C20" s="280">
        <f>C19+C10</f>
        <v>1108605.4399999999</v>
      </c>
      <c r="D20" s="280">
        <f t="shared" ref="D20:F20" si="8">D19+D10</f>
        <v>554302.71999999997</v>
      </c>
      <c r="E20" s="280">
        <f t="shared" si="8"/>
        <v>521213.12300000002</v>
      </c>
      <c r="F20" s="280">
        <f t="shared" si="8"/>
        <v>530754.05700000003</v>
      </c>
    </row>
    <row r="21" spans="1:6" x14ac:dyDescent="0.2">
      <c r="C21" s="278"/>
      <c r="D21" s="278"/>
      <c r="E21" s="278"/>
      <c r="F21" s="278"/>
    </row>
    <row r="22" spans="1:6" ht="15" x14ac:dyDescent="0.25">
      <c r="A22" s="393" t="s">
        <v>172</v>
      </c>
      <c r="B22" s="393"/>
      <c r="C22" s="393"/>
      <c r="D22" s="297"/>
      <c r="E22" s="293"/>
      <c r="F22" s="293"/>
    </row>
    <row r="23" spans="1:6" ht="15" x14ac:dyDescent="0.25">
      <c r="A23" s="297"/>
      <c r="B23" s="297"/>
      <c r="C23" s="297" t="s">
        <v>173</v>
      </c>
      <c r="D23" s="297"/>
      <c r="E23" s="297" t="s">
        <v>174</v>
      </c>
      <c r="F23" s="297" t="s">
        <v>175</v>
      </c>
    </row>
    <row r="24" spans="1:6" x14ac:dyDescent="0.2">
      <c r="A24" s="293" t="s">
        <v>176</v>
      </c>
      <c r="B24" s="293" t="s">
        <v>177</v>
      </c>
      <c r="C24" s="294">
        <v>174000</v>
      </c>
      <c r="D24" s="295"/>
      <c r="E24" s="294">
        <f>66000+20727</f>
        <v>86727</v>
      </c>
      <c r="F24" s="294">
        <f>C24-E24</f>
        <v>87273</v>
      </c>
    </row>
    <row r="25" spans="1:6" x14ac:dyDescent="0.2">
      <c r="A25" s="293" t="s">
        <v>178</v>
      </c>
      <c r="B25" s="293" t="s">
        <v>179</v>
      </c>
      <c r="C25" s="294">
        <v>22000</v>
      </c>
      <c r="D25" s="295"/>
      <c r="E25" s="294">
        <v>11000</v>
      </c>
      <c r="F25" s="294">
        <f t="shared" ref="F25:F29" si="9">C25-E25</f>
        <v>11000</v>
      </c>
    </row>
    <row r="26" spans="1:6" x14ac:dyDescent="0.2">
      <c r="A26" s="293" t="s">
        <v>180</v>
      </c>
      <c r="B26" s="293" t="s">
        <v>181</v>
      </c>
      <c r="C26" s="294">
        <v>145000</v>
      </c>
      <c r="D26" s="295"/>
      <c r="E26" s="294">
        <v>131410.51</v>
      </c>
      <c r="F26" s="294">
        <f t="shared" si="9"/>
        <v>13589.489999999991</v>
      </c>
    </row>
    <row r="27" spans="1:6" x14ac:dyDescent="0.2">
      <c r="A27" s="293" t="s">
        <v>182</v>
      </c>
      <c r="B27" s="293" t="s">
        <v>183</v>
      </c>
      <c r="C27" s="294">
        <v>0</v>
      </c>
      <c r="D27" s="295"/>
      <c r="E27" s="294">
        <v>0</v>
      </c>
      <c r="F27" s="294">
        <f t="shared" si="9"/>
        <v>0</v>
      </c>
    </row>
    <row r="28" spans="1:6" x14ac:dyDescent="0.2">
      <c r="A28" s="293" t="s">
        <v>184</v>
      </c>
      <c r="B28" s="293" t="s">
        <v>185</v>
      </c>
      <c r="C28" s="294">
        <v>200000</v>
      </c>
      <c r="D28" s="295"/>
      <c r="E28" s="294">
        <v>15950</v>
      </c>
      <c r="F28" s="294">
        <f t="shared" si="9"/>
        <v>184050</v>
      </c>
    </row>
    <row r="29" spans="1:6" x14ac:dyDescent="0.2">
      <c r="A29" s="293" t="s">
        <v>186</v>
      </c>
      <c r="B29" s="293" t="s">
        <v>187</v>
      </c>
      <c r="C29" s="294">
        <v>190000</v>
      </c>
      <c r="D29" s="295"/>
      <c r="E29" s="294">
        <f>15210+65339.75</f>
        <v>80549.75</v>
      </c>
      <c r="F29" s="294">
        <f t="shared" si="9"/>
        <v>109450.25</v>
      </c>
    </row>
    <row r="30" spans="1:6" x14ac:dyDescent="0.2">
      <c r="A30" s="293"/>
      <c r="B30" s="293"/>
      <c r="C30" s="296">
        <f>SUM(C24:C29)</f>
        <v>731000</v>
      </c>
      <c r="D30" s="296"/>
      <c r="E30" s="296">
        <f>SUM(E24:E29)</f>
        <v>325637.26</v>
      </c>
      <c r="F30" s="296">
        <f>SUM(F24:F29)</f>
        <v>405362.74</v>
      </c>
    </row>
    <row r="31" spans="1:6" x14ac:dyDescent="0.2">
      <c r="D31" t="s">
        <v>188</v>
      </c>
      <c r="E31" s="278">
        <f>E30*0.05</f>
        <v>16281.863000000001</v>
      </c>
      <c r="F31" s="278">
        <f>F30*0.05</f>
        <v>20268.137000000002</v>
      </c>
    </row>
    <row r="32" spans="1:6" ht="13.5" thickBot="1" x14ac:dyDescent="0.25">
      <c r="D32" t="s">
        <v>189</v>
      </c>
      <c r="E32" s="282">
        <f>E31+E30</f>
        <v>341919.12300000002</v>
      </c>
      <c r="F32" s="282">
        <f>F31+F30</f>
        <v>425630.87699999998</v>
      </c>
    </row>
    <row r="33" spans="1:6" ht="13.5" thickTop="1" x14ac:dyDescent="0.2"/>
    <row r="35" spans="1:6" ht="15" x14ac:dyDescent="0.25">
      <c r="A35" s="394" t="s">
        <v>190</v>
      </c>
      <c r="B35" s="394"/>
      <c r="C35" s="394"/>
      <c r="D35" s="281"/>
      <c r="E35" s="274"/>
      <c r="F35" s="274"/>
    </row>
    <row r="36" spans="1:6" ht="15" x14ac:dyDescent="0.25">
      <c r="A36" s="281"/>
      <c r="B36" s="281"/>
      <c r="C36" s="281" t="s">
        <v>173</v>
      </c>
      <c r="D36" s="281"/>
      <c r="E36" s="281" t="s">
        <v>174</v>
      </c>
      <c r="F36" s="281" t="s">
        <v>175</v>
      </c>
    </row>
    <row r="37" spans="1:6" x14ac:dyDescent="0.2">
      <c r="A37" s="274" t="s">
        <v>176</v>
      </c>
      <c r="B37" s="274" t="s">
        <v>177</v>
      </c>
      <c r="C37" s="275">
        <v>74000</v>
      </c>
      <c r="D37" s="276"/>
      <c r="E37" s="275">
        <f>27000+8883</f>
        <v>35883</v>
      </c>
      <c r="F37" s="275">
        <f>C37-E37</f>
        <v>38117</v>
      </c>
    </row>
    <row r="38" spans="1:6" x14ac:dyDescent="0.2">
      <c r="A38" s="274" t="s">
        <v>178</v>
      </c>
      <c r="B38" s="274" t="s">
        <v>179</v>
      </c>
      <c r="C38" s="275">
        <v>0</v>
      </c>
      <c r="D38" s="276"/>
      <c r="E38" s="275">
        <v>0</v>
      </c>
      <c r="F38" s="275">
        <f t="shared" ref="F38:F43" si="10">C38-E38</f>
        <v>0</v>
      </c>
    </row>
    <row r="39" spans="1:6" x14ac:dyDescent="0.2">
      <c r="A39" s="274" t="s">
        <v>180</v>
      </c>
      <c r="B39" s="274" t="s">
        <v>191</v>
      </c>
      <c r="C39" s="275">
        <v>10000</v>
      </c>
      <c r="D39" s="276"/>
      <c r="E39" s="275">
        <v>0</v>
      </c>
      <c r="F39" s="275">
        <f t="shared" si="10"/>
        <v>10000</v>
      </c>
    </row>
    <row r="40" spans="1:6" x14ac:dyDescent="0.2">
      <c r="A40" s="274" t="s">
        <v>182</v>
      </c>
      <c r="B40" s="274" t="s">
        <v>183</v>
      </c>
      <c r="C40" s="275">
        <v>29000</v>
      </c>
      <c r="D40" s="276"/>
      <c r="E40" s="275">
        <v>0</v>
      </c>
      <c r="F40" s="275">
        <f t="shared" si="10"/>
        <v>29000</v>
      </c>
    </row>
    <row r="41" spans="1:6" x14ac:dyDescent="0.2">
      <c r="A41" s="274" t="s">
        <v>184</v>
      </c>
      <c r="B41" s="274" t="s">
        <v>181</v>
      </c>
      <c r="C41" s="275">
        <v>75000</v>
      </c>
      <c r="D41" s="276"/>
      <c r="E41" s="275">
        <v>60919</v>
      </c>
      <c r="F41" s="275">
        <f t="shared" si="10"/>
        <v>14081</v>
      </c>
    </row>
    <row r="42" spans="1:6" x14ac:dyDescent="0.2">
      <c r="A42" s="274" t="s">
        <v>186</v>
      </c>
      <c r="B42" s="274" t="s">
        <v>192</v>
      </c>
      <c r="C42" s="275">
        <v>130000</v>
      </c>
      <c r="D42" s="276"/>
      <c r="E42" s="275">
        <v>61388</v>
      </c>
      <c r="F42" s="275">
        <f t="shared" si="10"/>
        <v>68612</v>
      </c>
    </row>
    <row r="43" spans="1:6" x14ac:dyDescent="0.2">
      <c r="A43" s="274" t="s">
        <v>193</v>
      </c>
      <c r="B43" s="274" t="s">
        <v>194</v>
      </c>
      <c r="C43" s="275">
        <v>90000</v>
      </c>
      <c r="D43" s="276"/>
      <c r="E43" s="275">
        <v>21104</v>
      </c>
      <c r="F43" s="275">
        <f t="shared" si="10"/>
        <v>68896</v>
      </c>
    </row>
    <row r="44" spans="1:6" x14ac:dyDescent="0.2">
      <c r="A44" s="274"/>
      <c r="B44" s="274"/>
      <c r="C44" s="277">
        <f>SUM(C37:C43)</f>
        <v>408000</v>
      </c>
      <c r="D44" s="277"/>
      <c r="E44" s="277">
        <f>SUM(E37:E43)</f>
        <v>179294</v>
      </c>
      <c r="F44" s="277">
        <f>SUM(F37:F43)</f>
        <v>228706</v>
      </c>
    </row>
    <row r="46" spans="1:6" x14ac:dyDescent="0.2">
      <c r="B46" s="391" t="s">
        <v>195</v>
      </c>
      <c r="C46" s="391"/>
      <c r="D46" s="391"/>
      <c r="E46" s="391"/>
      <c r="F46" s="391"/>
    </row>
    <row r="47" spans="1:6" ht="15" x14ac:dyDescent="0.25">
      <c r="B47" t="s">
        <v>196</v>
      </c>
      <c r="C47" s="299">
        <v>160806</v>
      </c>
      <c r="D47" s="299">
        <v>160807</v>
      </c>
      <c r="E47" s="283">
        <v>160810</v>
      </c>
      <c r="F47" s="299">
        <v>160813</v>
      </c>
    </row>
    <row r="48" spans="1:6" ht="15" x14ac:dyDescent="0.25">
      <c r="A48" s="285"/>
      <c r="B48" s="285" t="s">
        <v>197</v>
      </c>
      <c r="C48" s="300" t="s">
        <v>164</v>
      </c>
      <c r="D48" s="300" t="s">
        <v>165</v>
      </c>
      <c r="E48" s="286" t="s">
        <v>198</v>
      </c>
      <c r="F48" s="300" t="s">
        <v>155</v>
      </c>
    </row>
    <row r="49" spans="1:6" x14ac:dyDescent="0.2">
      <c r="A49" s="288">
        <v>2015</v>
      </c>
      <c r="B49" s="288" t="s">
        <v>199</v>
      </c>
      <c r="C49" s="289">
        <v>10554</v>
      </c>
      <c r="D49" s="289">
        <v>19522</v>
      </c>
      <c r="E49" s="289">
        <v>17403</v>
      </c>
      <c r="F49" s="289">
        <v>4734</v>
      </c>
    </row>
    <row r="50" spans="1:6" x14ac:dyDescent="0.2">
      <c r="A50" s="288">
        <v>2015</v>
      </c>
      <c r="B50" s="288" t="s">
        <v>200</v>
      </c>
      <c r="C50" s="289">
        <v>10531</v>
      </c>
      <c r="D50" s="289">
        <v>19731</v>
      </c>
      <c r="E50" s="289">
        <v>17517</v>
      </c>
      <c r="F50" s="289">
        <v>4788</v>
      </c>
    </row>
    <row r="51" spans="1:6" x14ac:dyDescent="0.2">
      <c r="A51" s="288">
        <v>2015</v>
      </c>
      <c r="B51" s="288" t="s">
        <v>201</v>
      </c>
      <c r="C51" s="289">
        <v>10582</v>
      </c>
      <c r="D51" s="289">
        <v>19343</v>
      </c>
      <c r="E51" s="289">
        <v>17663</v>
      </c>
      <c r="F51" s="289">
        <v>4746</v>
      </c>
    </row>
    <row r="52" spans="1:6" x14ac:dyDescent="0.2">
      <c r="A52">
        <v>2015</v>
      </c>
      <c r="B52" t="s">
        <v>202</v>
      </c>
      <c r="C52" s="290">
        <v>10598</v>
      </c>
      <c r="D52" s="290">
        <v>19802</v>
      </c>
      <c r="E52" s="290">
        <v>17588</v>
      </c>
      <c r="F52" s="290">
        <v>4765</v>
      </c>
    </row>
    <row r="53" spans="1:6" x14ac:dyDescent="0.2">
      <c r="A53">
        <v>2015</v>
      </c>
      <c r="B53" t="s">
        <v>203</v>
      </c>
      <c r="C53" s="290">
        <v>10622</v>
      </c>
      <c r="D53" s="290">
        <v>19819</v>
      </c>
      <c r="E53" s="290">
        <v>17666</v>
      </c>
      <c r="F53" s="290">
        <v>4809</v>
      </c>
    </row>
    <row r="54" spans="1:6" x14ac:dyDescent="0.2">
      <c r="A54">
        <v>2015</v>
      </c>
      <c r="B54" t="s">
        <v>204</v>
      </c>
      <c r="C54" s="290">
        <v>10671</v>
      </c>
      <c r="D54" s="290">
        <v>19840</v>
      </c>
      <c r="E54" s="290">
        <v>17662</v>
      </c>
      <c r="F54" s="290">
        <v>4832</v>
      </c>
    </row>
    <row r="55" spans="1:6" x14ac:dyDescent="0.2">
      <c r="A55">
        <v>2015</v>
      </c>
      <c r="B55" t="s">
        <v>205</v>
      </c>
      <c r="C55" s="290">
        <v>10627</v>
      </c>
      <c r="D55" s="290">
        <v>19851</v>
      </c>
      <c r="E55" s="290">
        <v>17587</v>
      </c>
      <c r="F55" s="290">
        <v>4770</v>
      </c>
    </row>
    <row r="56" spans="1:6" x14ac:dyDescent="0.2">
      <c r="A56">
        <v>2015</v>
      </c>
      <c r="B56" t="s">
        <v>206</v>
      </c>
      <c r="C56" s="290">
        <v>10631</v>
      </c>
      <c r="D56" s="290">
        <v>19851</v>
      </c>
      <c r="E56" s="290">
        <v>17622</v>
      </c>
      <c r="F56" s="290">
        <v>4819</v>
      </c>
    </row>
    <row r="57" spans="1:6" x14ac:dyDescent="0.2">
      <c r="A57">
        <v>2016</v>
      </c>
      <c r="B57" t="s">
        <v>207</v>
      </c>
      <c r="C57" s="290">
        <v>10631</v>
      </c>
      <c r="D57" s="290">
        <v>19926</v>
      </c>
      <c r="E57" s="290">
        <v>17608</v>
      </c>
      <c r="F57" s="290">
        <v>4794</v>
      </c>
    </row>
    <row r="58" spans="1:6" x14ac:dyDescent="0.2">
      <c r="A58">
        <v>2016</v>
      </c>
      <c r="B58" t="s">
        <v>208</v>
      </c>
      <c r="C58" s="290">
        <v>10637</v>
      </c>
      <c r="D58" s="290">
        <v>19894</v>
      </c>
      <c r="E58" s="290">
        <v>17561</v>
      </c>
      <c r="F58" s="290">
        <v>4773</v>
      </c>
    </row>
    <row r="59" spans="1:6" x14ac:dyDescent="0.2">
      <c r="A59">
        <v>2016</v>
      </c>
      <c r="B59" t="s">
        <v>209</v>
      </c>
      <c r="C59" s="290">
        <v>10642</v>
      </c>
      <c r="D59" s="290">
        <v>19999</v>
      </c>
      <c r="E59" s="290">
        <v>17683</v>
      </c>
      <c r="F59" s="290">
        <v>4810</v>
      </c>
    </row>
    <row r="60" spans="1:6" x14ac:dyDescent="0.2">
      <c r="A60">
        <v>2016</v>
      </c>
      <c r="B60" t="s">
        <v>210</v>
      </c>
      <c r="C60" s="290">
        <v>10659</v>
      </c>
      <c r="D60" s="290">
        <v>20014</v>
      </c>
      <c r="E60" s="290">
        <v>17762</v>
      </c>
      <c r="F60" s="290">
        <v>4752</v>
      </c>
    </row>
    <row r="62" spans="1:6" x14ac:dyDescent="0.2">
      <c r="B62" s="391" t="s">
        <v>211</v>
      </c>
      <c r="C62" s="391"/>
      <c r="D62" s="391"/>
      <c r="E62" s="391"/>
      <c r="F62" s="391"/>
    </row>
    <row r="63" spans="1:6" ht="15" x14ac:dyDescent="0.25">
      <c r="B63" t="s">
        <v>196</v>
      </c>
      <c r="C63" s="283">
        <v>160806</v>
      </c>
      <c r="D63" s="283">
        <v>160807</v>
      </c>
      <c r="E63" s="284">
        <v>160810</v>
      </c>
      <c r="F63" s="283">
        <v>160813</v>
      </c>
    </row>
    <row r="64" spans="1:6" ht="15" x14ac:dyDescent="0.25">
      <c r="A64" s="285"/>
      <c r="B64" s="285" t="s">
        <v>197</v>
      </c>
      <c r="C64" s="286" t="s">
        <v>164</v>
      </c>
      <c r="D64" s="286" t="s">
        <v>165</v>
      </c>
      <c r="E64" s="287" t="s">
        <v>198</v>
      </c>
      <c r="F64" s="286" t="s">
        <v>155</v>
      </c>
    </row>
    <row r="65" spans="1:6" x14ac:dyDescent="0.2">
      <c r="A65" s="288">
        <v>2015</v>
      </c>
      <c r="B65" s="288" t="s">
        <v>199</v>
      </c>
      <c r="C65" s="289">
        <v>2175.31</v>
      </c>
      <c r="D65" s="291">
        <v>488.25</v>
      </c>
      <c r="E65" s="289">
        <v>7723.13</v>
      </c>
      <c r="F65" s="289">
        <v>814.26</v>
      </c>
    </row>
    <row r="66" spans="1:6" x14ac:dyDescent="0.2">
      <c r="A66" s="288">
        <v>2015</v>
      </c>
      <c r="B66" s="288" t="s">
        <v>200</v>
      </c>
      <c r="C66" s="289">
        <v>2175.31</v>
      </c>
      <c r="D66" s="291">
        <v>488.25</v>
      </c>
      <c r="E66" s="289">
        <v>7723.82</v>
      </c>
      <c r="F66" s="289">
        <v>814</v>
      </c>
    </row>
    <row r="67" spans="1:6" x14ac:dyDescent="0.2">
      <c r="A67" s="288">
        <v>2015</v>
      </c>
      <c r="B67" s="288" t="s">
        <v>201</v>
      </c>
      <c r="C67" s="289">
        <v>2172.31</v>
      </c>
      <c r="D67" s="291">
        <v>467.59</v>
      </c>
      <c r="E67" s="289">
        <v>7840.73</v>
      </c>
      <c r="F67" s="289">
        <v>814</v>
      </c>
    </row>
    <row r="68" spans="1:6" x14ac:dyDescent="0.2">
      <c r="A68">
        <v>2015</v>
      </c>
      <c r="B68" t="s">
        <v>202</v>
      </c>
      <c r="C68" s="290">
        <v>2171.62</v>
      </c>
      <c r="D68" s="292">
        <v>467.59</v>
      </c>
      <c r="E68" s="290">
        <v>7836.4</v>
      </c>
      <c r="F68" s="290">
        <v>814.26</v>
      </c>
    </row>
    <row r="69" spans="1:6" x14ac:dyDescent="0.2">
      <c r="A69">
        <v>2015</v>
      </c>
      <c r="B69" t="s">
        <v>203</v>
      </c>
      <c r="C69" s="290">
        <v>2206.9499999999998</v>
      </c>
      <c r="D69" s="292">
        <v>467.59</v>
      </c>
      <c r="E69" s="290">
        <v>7774.64</v>
      </c>
      <c r="F69" s="290">
        <v>814.26</v>
      </c>
    </row>
    <row r="70" spans="1:6" x14ac:dyDescent="0.2">
      <c r="A70">
        <v>2015</v>
      </c>
      <c r="B70" t="s">
        <v>204</v>
      </c>
      <c r="C70" s="290">
        <v>2237.2600000000002</v>
      </c>
      <c r="D70" s="292">
        <v>469.5</v>
      </c>
      <c r="E70" s="290">
        <v>7862.6</v>
      </c>
      <c r="F70" s="290">
        <v>840.28</v>
      </c>
    </row>
    <row r="71" spans="1:6" x14ac:dyDescent="0.2">
      <c r="A71">
        <v>2015</v>
      </c>
      <c r="B71" t="s">
        <v>205</v>
      </c>
      <c r="C71" s="290">
        <v>2237.2600000000002</v>
      </c>
      <c r="D71" s="292">
        <v>456.51</v>
      </c>
      <c r="E71" s="290">
        <v>7831.85</v>
      </c>
      <c r="F71" s="290">
        <v>840.24</v>
      </c>
    </row>
    <row r="72" spans="1:6" x14ac:dyDescent="0.2">
      <c r="A72">
        <v>2015</v>
      </c>
      <c r="B72" t="s">
        <v>206</v>
      </c>
      <c r="C72" s="290">
        <v>2239.77</v>
      </c>
      <c r="D72" s="292">
        <v>456.51</v>
      </c>
      <c r="E72" s="290">
        <v>7816.26</v>
      </c>
      <c r="F72" s="290">
        <v>840.24</v>
      </c>
    </row>
    <row r="73" spans="1:6" x14ac:dyDescent="0.2">
      <c r="A73">
        <v>2016</v>
      </c>
      <c r="B73" t="s">
        <v>207</v>
      </c>
      <c r="C73" s="290">
        <v>2248</v>
      </c>
      <c r="D73" s="292">
        <v>429.49</v>
      </c>
      <c r="E73" s="290">
        <v>7816.96</v>
      </c>
      <c r="F73" s="290">
        <v>840.24</v>
      </c>
    </row>
    <row r="74" spans="1:6" x14ac:dyDescent="0.2">
      <c r="A74">
        <v>2016</v>
      </c>
      <c r="B74" t="s">
        <v>208</v>
      </c>
      <c r="C74" s="290">
        <v>1698.52</v>
      </c>
      <c r="D74" s="292">
        <v>429.49</v>
      </c>
      <c r="E74" s="290">
        <v>7834.28</v>
      </c>
      <c r="F74" s="290">
        <v>840.24</v>
      </c>
    </row>
    <row r="75" spans="1:6" x14ac:dyDescent="0.2">
      <c r="A75">
        <v>2016</v>
      </c>
      <c r="B75" t="s">
        <v>209</v>
      </c>
      <c r="C75" s="290">
        <v>1688.96</v>
      </c>
      <c r="D75" s="292">
        <v>429.49</v>
      </c>
      <c r="E75" s="290">
        <v>7776.78</v>
      </c>
      <c r="F75" s="290">
        <v>840.25</v>
      </c>
    </row>
    <row r="76" spans="1:6" x14ac:dyDescent="0.2">
      <c r="A76">
        <v>2016</v>
      </c>
      <c r="B76" t="s">
        <v>210</v>
      </c>
      <c r="C76" s="290">
        <v>1701.95</v>
      </c>
      <c r="D76" s="292">
        <v>429.49</v>
      </c>
      <c r="E76" s="290">
        <v>7764.93</v>
      </c>
      <c r="F76" s="290">
        <v>840</v>
      </c>
    </row>
  </sheetData>
  <mergeCells count="7">
    <mergeCell ref="B62:F62"/>
    <mergeCell ref="A1:F1"/>
    <mergeCell ref="A2:C2"/>
    <mergeCell ref="A11:C11"/>
    <mergeCell ref="A22:C22"/>
    <mergeCell ref="A35:C35"/>
    <mergeCell ref="B46:F4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F25"/>
  <sheetViews>
    <sheetView zoomScale="120" zoomScaleNormal="120" workbookViewId="0">
      <selection activeCell="C7" sqref="C7"/>
    </sheetView>
  </sheetViews>
  <sheetFormatPr defaultColWidth="8.85546875" defaultRowHeight="15" x14ac:dyDescent="0.25"/>
  <cols>
    <col min="1" max="1" width="42.5703125" style="238" bestFit="1" customWidth="1"/>
    <col min="2" max="2" width="8.85546875" style="238"/>
    <col min="3" max="3" width="11.5703125" style="238" bestFit="1" customWidth="1"/>
    <col min="4" max="5" width="8.85546875" style="238"/>
    <col min="6" max="6" width="10.7109375" style="238" bestFit="1" customWidth="1"/>
    <col min="7" max="16384" width="8.85546875" style="238"/>
  </cols>
  <sheetData>
    <row r="1" spans="1:6" x14ac:dyDescent="0.25">
      <c r="A1" s="238" t="s">
        <v>137</v>
      </c>
    </row>
    <row r="2" spans="1:6" x14ac:dyDescent="0.25">
      <c r="A2" s="238" t="s">
        <v>138</v>
      </c>
    </row>
    <row r="3" spans="1:6" x14ac:dyDescent="0.25">
      <c r="A3" s="238" t="s">
        <v>139</v>
      </c>
      <c r="C3" s="239">
        <f>'[26]2014-2015 Cost Summary'!$D$53</f>
        <v>6486.5194878737675</v>
      </c>
    </row>
    <row r="4" spans="1:6" x14ac:dyDescent="0.25">
      <c r="E4" s="239"/>
    </row>
    <row r="5" spans="1:6" ht="15.75" thickBot="1" x14ac:dyDescent="0.3">
      <c r="B5" s="240" t="s">
        <v>140</v>
      </c>
      <c r="D5" s="240" t="s">
        <v>141</v>
      </c>
    </row>
    <row r="6" spans="1:6" x14ac:dyDescent="0.25">
      <c r="A6" s="241">
        <v>172</v>
      </c>
      <c r="B6" s="242">
        <v>0.27400000000000002</v>
      </c>
      <c r="C6" s="243">
        <f>B6*$C$3</f>
        <v>1777.3063396774123</v>
      </c>
      <c r="D6" s="244">
        <v>4.5999999999999999E-2</v>
      </c>
      <c r="E6" s="243">
        <f t="shared" ref="C6:E8" si="0">D6*$C$3</f>
        <v>298.37989644219329</v>
      </c>
      <c r="F6" s="245">
        <f>B6+D6</f>
        <v>0.32</v>
      </c>
    </row>
    <row r="7" spans="1:6" x14ac:dyDescent="0.25">
      <c r="A7" s="241">
        <v>176</v>
      </c>
      <c r="B7" s="245">
        <v>0.52400000000000002</v>
      </c>
      <c r="C7" s="246">
        <f t="shared" si="0"/>
        <v>3398.9362116458542</v>
      </c>
      <c r="D7" s="247">
        <v>1.0999999999999999E-2</v>
      </c>
      <c r="E7" s="246">
        <f t="shared" si="0"/>
        <v>71.351714366611432</v>
      </c>
      <c r="F7" s="245">
        <f t="shared" ref="F7:F8" si="1">B7+D7</f>
        <v>0.53500000000000003</v>
      </c>
    </row>
    <row r="8" spans="1:6" x14ac:dyDescent="0.25">
      <c r="A8" s="241">
        <v>183</v>
      </c>
      <c r="B8" s="244">
        <v>0.124</v>
      </c>
      <c r="C8" s="243">
        <f t="shared" si="0"/>
        <v>804.32841649634713</v>
      </c>
      <c r="D8" s="244">
        <v>2.1000000000000001E-2</v>
      </c>
      <c r="E8" s="243">
        <f t="shared" si="0"/>
        <v>136.21690924534911</v>
      </c>
      <c r="F8" s="245">
        <f t="shared" si="1"/>
        <v>0.14499999999999999</v>
      </c>
    </row>
    <row r="9" spans="1:6" x14ac:dyDescent="0.25">
      <c r="F9" s="248">
        <f>SUM(F6:F8)</f>
        <v>1</v>
      </c>
    </row>
    <row r="10" spans="1:6" x14ac:dyDescent="0.25">
      <c r="A10" s="249" t="s">
        <v>142</v>
      </c>
      <c r="B10" s="250"/>
      <c r="C10" s="250"/>
      <c r="D10" s="250"/>
      <c r="E10" s="250"/>
      <c r="F10" s="251">
        <f>SUM(C6:C8,E6:E8)</f>
        <v>6486.5194878737666</v>
      </c>
    </row>
    <row r="11" spans="1:6" x14ac:dyDescent="0.25">
      <c r="A11" s="252"/>
      <c r="F11" s="251"/>
    </row>
    <row r="12" spans="1:6" x14ac:dyDescent="0.25">
      <c r="A12" s="238" t="s">
        <v>143</v>
      </c>
    </row>
    <row r="13" spans="1:6" x14ac:dyDescent="0.25">
      <c r="A13" s="238" t="s">
        <v>138</v>
      </c>
    </row>
    <row r="14" spans="1:6" x14ac:dyDescent="0.25">
      <c r="A14" s="238" t="s">
        <v>144</v>
      </c>
      <c r="C14" s="239">
        <f>'[27]Cost summary 2014-2015'!$D$57</f>
        <v>0</v>
      </c>
    </row>
    <row r="16" spans="1:6" ht="15.75" thickBot="1" x14ac:dyDescent="0.3">
      <c r="B16" s="240" t="s">
        <v>140</v>
      </c>
      <c r="D16" s="240" t="s">
        <v>141</v>
      </c>
    </row>
    <row r="17" spans="1:6" x14ac:dyDescent="0.25">
      <c r="A17" s="241">
        <v>197</v>
      </c>
      <c r="B17" s="253">
        <v>0.85</v>
      </c>
      <c r="C17" s="254">
        <f>B17*C14</f>
        <v>0</v>
      </c>
      <c r="D17" s="253">
        <v>0.15</v>
      </c>
      <c r="E17" s="254">
        <f>D17*C14</f>
        <v>0</v>
      </c>
    </row>
    <row r="19" spans="1:6" x14ac:dyDescent="0.25">
      <c r="A19" s="249" t="s">
        <v>145</v>
      </c>
      <c r="B19" s="255"/>
      <c r="C19" s="255"/>
      <c r="D19" s="255"/>
      <c r="E19" s="255"/>
      <c r="F19" s="251">
        <f>SUM(E17,C17)</f>
        <v>0</v>
      </c>
    </row>
    <row r="20" spans="1:6" x14ac:dyDescent="0.25">
      <c r="F20" s="254"/>
    </row>
    <row r="21" spans="1:6" ht="15.75" thickBot="1" x14ac:dyDescent="0.3">
      <c r="A21" s="238" t="s">
        <v>146</v>
      </c>
      <c r="B21" s="256" t="s">
        <v>147</v>
      </c>
      <c r="C21" s="256" t="s">
        <v>148</v>
      </c>
    </row>
    <row r="22" spans="1:6" x14ac:dyDescent="0.25">
      <c r="A22" s="241">
        <v>172</v>
      </c>
      <c r="B22" s="257">
        <v>0.95599999999999996</v>
      </c>
      <c r="C22" s="257">
        <v>0.93400000000000005</v>
      </c>
    </row>
    <row r="23" spans="1:6" x14ac:dyDescent="0.25">
      <c r="A23" s="241">
        <v>176</v>
      </c>
      <c r="B23" s="257">
        <v>0.77300000000000002</v>
      </c>
      <c r="C23" s="257">
        <v>0.54</v>
      </c>
    </row>
    <row r="24" spans="1:6" x14ac:dyDescent="0.25">
      <c r="A24" s="241">
        <v>183</v>
      </c>
      <c r="B24" s="257">
        <v>0.70499999999999996</v>
      </c>
      <c r="C24" s="257">
        <v>9.6000000000000002E-2</v>
      </c>
    </row>
    <row r="25" spans="1:6" x14ac:dyDescent="0.25">
      <c r="A25" s="241">
        <v>197</v>
      </c>
      <c r="B25" s="257">
        <v>0.83399999999999996</v>
      </c>
      <c r="C25" s="257">
        <v>0.29299999999999998</v>
      </c>
    </row>
  </sheetData>
  <pageMargins left="0.7" right="0.7" top="0.75" bottom="0.75" header="0.3" footer="0.3"/>
  <pageSetup fitToHeight="0" orientation="landscape" horizontalDpi="4294967292" verticalDpi="4294967292"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AA103"/>
  <sheetViews>
    <sheetView showGridLines="0" topLeftCell="A4" zoomScaleNormal="100" zoomScalePageLayoutView="90" workbookViewId="0">
      <selection activeCell="D22" sqref="D22"/>
    </sheetView>
  </sheetViews>
  <sheetFormatPr defaultColWidth="9.140625" defaultRowHeight="12.75" x14ac:dyDescent="0.2"/>
  <cols>
    <col min="1" max="1" width="18.7109375" style="5" customWidth="1"/>
    <col min="2" max="2" width="10.140625" style="5" customWidth="1"/>
    <col min="3" max="3" width="4.5703125" style="5" customWidth="1"/>
    <col min="4" max="4" width="11.28515625" style="5" customWidth="1"/>
    <col min="5" max="5" width="5.5703125" style="5" customWidth="1"/>
    <col min="6" max="6" width="13" style="5" customWidth="1"/>
    <col min="7" max="7" width="8.7109375" style="5" customWidth="1"/>
    <col min="8" max="8" width="4.7109375" style="5" bestFit="1" customWidth="1"/>
    <col min="9" max="9" width="10.42578125" style="5" customWidth="1"/>
    <col min="10" max="10" width="9.42578125" style="5" customWidth="1"/>
    <col min="11" max="11" width="5.42578125" style="5" bestFit="1" customWidth="1"/>
    <col min="12" max="14" width="9.5703125" style="5" customWidth="1"/>
    <col min="15" max="15" width="15.28515625" style="5" bestFit="1" customWidth="1"/>
    <col min="16" max="16" width="36.7109375" style="5" bestFit="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0</v>
      </c>
      <c r="B1" s="2"/>
      <c r="C1" s="2"/>
      <c r="D1" s="2"/>
      <c r="E1" s="2"/>
      <c r="F1" s="2"/>
      <c r="G1" s="3"/>
      <c r="H1" s="2"/>
      <c r="I1" s="2"/>
      <c r="J1" s="1" t="s">
        <v>58</v>
      </c>
      <c r="K1" s="2"/>
      <c r="L1" s="2"/>
      <c r="M1" s="2"/>
      <c r="N1" s="2"/>
      <c r="O1" s="2"/>
      <c r="P1" s="2"/>
      <c r="Q1" s="2"/>
      <c r="R1" s="2"/>
      <c r="S1" s="2"/>
      <c r="T1" s="2"/>
      <c r="U1" s="2"/>
      <c r="V1" s="2"/>
      <c r="W1" s="4"/>
      <c r="X1" s="4"/>
      <c r="Y1" s="4"/>
      <c r="Z1" s="4"/>
      <c r="AA1" s="4"/>
    </row>
    <row r="2" spans="1:27" x14ac:dyDescent="0.2">
      <c r="A2" s="6" t="s">
        <v>1</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2015</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2</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3</v>
      </c>
      <c r="G5" s="11"/>
      <c r="H5" s="11"/>
      <c r="I5" s="11"/>
      <c r="J5" s="11"/>
      <c r="K5" s="11"/>
      <c r="L5" s="2"/>
      <c r="M5" s="2"/>
      <c r="N5" s="2"/>
      <c r="O5" s="114" t="str">
        <f>"Total "&amp;F5</f>
        <v>Total Commodity</v>
      </c>
      <c r="P5" s="115"/>
      <c r="Q5" s="2"/>
      <c r="R5" s="2"/>
      <c r="S5" s="2"/>
      <c r="T5" s="2"/>
      <c r="U5" s="2"/>
      <c r="V5" s="13"/>
      <c r="W5" s="14"/>
      <c r="X5" s="14"/>
      <c r="Y5" s="14"/>
      <c r="AA5" s="14"/>
    </row>
    <row r="6" spans="1:27" s="16" customFormat="1" ht="11.25" x14ac:dyDescent="0.2">
      <c r="A6" s="15"/>
      <c r="B6" s="12"/>
      <c r="C6" s="12"/>
      <c r="D6" s="12" t="s">
        <v>3</v>
      </c>
      <c r="E6" s="12"/>
      <c r="F6" s="12" t="s">
        <v>4</v>
      </c>
      <c r="G6" s="12"/>
      <c r="H6" s="12"/>
      <c r="I6" s="12"/>
      <c r="J6" s="12" t="s">
        <v>5</v>
      </c>
      <c r="K6" s="12"/>
      <c r="O6" s="116" t="str">
        <f>+F6</f>
        <v>Revenue</v>
      </c>
      <c r="P6" s="117"/>
    </row>
    <row r="7" spans="1:27" s="16" customFormat="1" ht="11.25" x14ac:dyDescent="0.2">
      <c r="A7" s="15" t="s">
        <v>6</v>
      </c>
      <c r="B7" s="12" t="s">
        <v>7</v>
      </c>
      <c r="C7" s="12"/>
      <c r="D7" s="12" t="s">
        <v>4</v>
      </c>
      <c r="E7" s="12"/>
      <c r="F7" s="12" t="s">
        <v>8</v>
      </c>
      <c r="G7" s="12"/>
      <c r="H7" s="12"/>
      <c r="I7" s="12"/>
      <c r="J7" s="12" t="s">
        <v>7</v>
      </c>
      <c r="K7" s="12"/>
      <c r="O7" s="116" t="str">
        <f>+F7</f>
        <v>per Customer</v>
      </c>
      <c r="P7" s="117"/>
    </row>
    <row r="8" spans="1:27" s="16" customFormat="1" ht="11.25" x14ac:dyDescent="0.2">
      <c r="A8" s="17">
        <f>+'Single Family'!C6</f>
        <v>41760</v>
      </c>
      <c r="B8" s="18">
        <v>19635</v>
      </c>
      <c r="C8" s="19"/>
      <c r="D8" s="20">
        <f>VLOOKUP(A8,'SF Value'!$A$6:$O$17,15,)</f>
        <v>19419.089223018393</v>
      </c>
      <c r="E8" s="19"/>
      <c r="F8" s="73">
        <f>ROUND(D8/B8,2)</f>
        <v>0.99</v>
      </c>
      <c r="G8" s="19"/>
      <c r="H8" s="19"/>
      <c r="I8" s="19"/>
      <c r="J8" s="14">
        <f>+B8</f>
        <v>19635</v>
      </c>
      <c r="K8" s="13">
        <v>2013</v>
      </c>
      <c r="O8" s="118">
        <f>VLOOKUP(A8,'SF Value'!$A$7:$N$18,13,FALSE)</f>
        <v>38828.261233054327</v>
      </c>
      <c r="P8" s="117"/>
    </row>
    <row r="9" spans="1:27" s="16" customFormat="1" ht="11.25" x14ac:dyDescent="0.2">
      <c r="A9" s="17">
        <f>'SF Value'!A8</f>
        <v>41820</v>
      </c>
      <c r="B9" s="18">
        <v>20065</v>
      </c>
      <c r="C9" s="22"/>
      <c r="D9" s="20">
        <f>VLOOKUP(A9,'SF Value'!$A$6:$O$17,15,)</f>
        <v>18517.260486211668</v>
      </c>
      <c r="E9" s="14"/>
      <c r="F9" s="70">
        <f>ROUND(D9/B9,2)</f>
        <v>0.92</v>
      </c>
      <c r="G9" s="14"/>
      <c r="H9" s="14"/>
      <c r="I9" s="14"/>
      <c r="J9" s="14">
        <f>+B9</f>
        <v>20065</v>
      </c>
      <c r="K9" s="13">
        <v>2013</v>
      </c>
      <c r="O9" s="118">
        <f>VLOOKUP(A9,'SF Value'!$A$7:$N$18,13,FALSE)</f>
        <v>37023.040105724147</v>
      </c>
      <c r="P9" s="117"/>
    </row>
    <row r="10" spans="1:27" s="16" customFormat="1" ht="11.25" x14ac:dyDescent="0.2">
      <c r="A10" s="17">
        <f>'SF Value'!A9</f>
        <v>41851</v>
      </c>
      <c r="B10" s="18">
        <v>19880</v>
      </c>
      <c r="C10" s="14"/>
      <c r="D10" s="20">
        <f>VLOOKUP(A10,'SF Value'!$A$6:$O$17,15,)</f>
        <v>18142.885622766466</v>
      </c>
      <c r="E10" s="14"/>
      <c r="F10" s="70">
        <f>ROUND(D10/B10,2)</f>
        <v>0.91</v>
      </c>
      <c r="G10" s="14"/>
      <c r="H10" s="14"/>
      <c r="I10" s="14"/>
      <c r="J10" s="14">
        <f>+B10</f>
        <v>19880</v>
      </c>
      <c r="K10" s="13">
        <v>2013</v>
      </c>
      <c r="O10" s="118">
        <f>VLOOKUP(A10,'SF Value'!$A$7:$N$18,13,FALSE)</f>
        <v>36273.34276535453</v>
      </c>
      <c r="P10" s="117"/>
    </row>
    <row r="11" spans="1:27" s="16" customFormat="1" ht="11.25" x14ac:dyDescent="0.2">
      <c r="B11" s="21"/>
      <c r="C11" s="14"/>
      <c r="E11" s="14"/>
      <c r="F11" s="73"/>
      <c r="G11" s="24"/>
      <c r="H11" s="22"/>
      <c r="I11" s="14"/>
      <c r="J11" s="14"/>
      <c r="K11" s="13"/>
      <c r="O11" s="118"/>
      <c r="P11" s="117"/>
    </row>
    <row r="12" spans="1:27" s="16" customFormat="1" ht="11.25" x14ac:dyDescent="0.2">
      <c r="A12" s="17" t="s">
        <v>66</v>
      </c>
      <c r="B12" s="23">
        <f>SUM(B8:B11)</f>
        <v>59580</v>
      </c>
      <c r="C12" s="22" t="s">
        <v>9</v>
      </c>
      <c r="D12" s="72">
        <f>SUM(D8:D11)</f>
        <v>56079.235331996526</v>
      </c>
      <c r="E12" s="14"/>
      <c r="F12" s="72">
        <f>ROUND(D12/B12,2)</f>
        <v>0.94</v>
      </c>
      <c r="G12" s="14"/>
      <c r="H12" s="14"/>
      <c r="I12" s="14"/>
      <c r="J12" s="14"/>
      <c r="K12" s="13"/>
      <c r="O12" s="118"/>
      <c r="P12" s="117"/>
    </row>
    <row r="13" spans="1:27" s="16" customFormat="1" ht="11.25" x14ac:dyDescent="0.2">
      <c r="A13" s="17"/>
      <c r="B13" s="21"/>
      <c r="C13" s="14"/>
      <c r="E13" s="14"/>
      <c r="F13" s="73"/>
      <c r="G13" s="24"/>
      <c r="H13" s="22"/>
      <c r="I13" s="14"/>
      <c r="J13" s="14"/>
      <c r="K13" s="13"/>
      <c r="O13" s="118"/>
      <c r="P13" s="117"/>
      <c r="Q13" s="14"/>
      <c r="R13" s="14"/>
    </row>
    <row r="14" spans="1:27" s="16" customFormat="1" ht="11.25" x14ac:dyDescent="0.2">
      <c r="A14" s="17">
        <f>'SF Value'!A10</f>
        <v>41882</v>
      </c>
      <c r="B14" s="21">
        <v>19723</v>
      </c>
      <c r="C14" s="14"/>
      <c r="D14" s="20">
        <f>VLOOKUP(A14,'SF Value'!$A$6:$O$17,15,)</f>
        <v>18783.0977751192</v>
      </c>
      <c r="E14" s="14"/>
      <c r="F14" s="70">
        <f>ROUND(D14/B14,2)</f>
        <v>0.95</v>
      </c>
      <c r="G14" s="24"/>
      <c r="H14" s="14"/>
      <c r="I14" s="14"/>
      <c r="J14" s="14">
        <f t="shared" ref="J14:J22" si="0">+B14</f>
        <v>19723</v>
      </c>
      <c r="K14" s="13">
        <v>2013</v>
      </c>
      <c r="O14" s="118">
        <f>VLOOKUP(A14,'SF Value'!$A$7:$N$18,13,FALSE)</f>
        <v>37563.540334167228</v>
      </c>
      <c r="P14" s="117"/>
    </row>
    <row r="15" spans="1:27" s="16" customFormat="1" ht="11.25" x14ac:dyDescent="0.2">
      <c r="A15" s="17">
        <f>'SF Value'!A11</f>
        <v>41912</v>
      </c>
      <c r="B15" s="21">
        <v>19782</v>
      </c>
      <c r="C15" s="14"/>
      <c r="D15" s="20">
        <f>VLOOKUP(A15,'SF Value'!$A$6:$O$17,15,)</f>
        <v>20121.293330601937</v>
      </c>
      <c r="E15" s="14"/>
      <c r="F15" s="70">
        <f>ROUND(D15/B15,2)</f>
        <v>1.02</v>
      </c>
      <c r="G15" s="24"/>
      <c r="H15" s="14"/>
      <c r="I15" s="14"/>
      <c r="J15" s="14">
        <f t="shared" si="0"/>
        <v>19782</v>
      </c>
      <c r="K15" s="13">
        <v>2013</v>
      </c>
      <c r="O15" s="118">
        <f>VLOOKUP(A15,'SF Value'!$A$7:$N$18,13,FALSE)</f>
        <v>40240.182406434389</v>
      </c>
      <c r="P15" s="117"/>
    </row>
    <row r="16" spans="1:27" s="16" customFormat="1" ht="11.25" x14ac:dyDescent="0.2">
      <c r="A16" s="17">
        <f>'SF Value'!A12</f>
        <v>41943</v>
      </c>
      <c r="B16" s="21">
        <v>19798</v>
      </c>
      <c r="C16" s="14"/>
      <c r="D16" s="20">
        <f>VLOOKUP(A16,'SF Value'!$A$6:$O$17,15,)</f>
        <v>18664.568465318785</v>
      </c>
      <c r="E16" s="14"/>
      <c r="F16" s="70">
        <f>ROUND(D16/B16,2)</f>
        <v>0.94</v>
      </c>
      <c r="G16" s="24"/>
      <c r="H16" s="14"/>
      <c r="I16" s="14"/>
      <c r="J16" s="14">
        <f t="shared" si="0"/>
        <v>19798</v>
      </c>
      <c r="K16" s="13">
        <v>2013</v>
      </c>
      <c r="O16" s="118">
        <f>VLOOKUP(A16,'SF Value'!$A$7:$N$18,13,FALSE)</f>
        <v>37326.859601396805</v>
      </c>
      <c r="P16" s="117"/>
      <c r="X16" s="14"/>
      <c r="Y16" s="14"/>
    </row>
    <row r="17" spans="1:27" s="16" customFormat="1" ht="11.25" x14ac:dyDescent="0.2">
      <c r="A17" s="17">
        <f>'SF Value'!A13</f>
        <v>41973</v>
      </c>
      <c r="B17" s="21">
        <v>19815</v>
      </c>
      <c r="C17" s="14"/>
      <c r="D17" s="20">
        <f>VLOOKUP(A17,'SF Value'!$A$6:$O$17,15,)</f>
        <v>14432.662870368598</v>
      </c>
      <c r="E17" s="14"/>
      <c r="F17" s="70">
        <f t="shared" ref="F17:F22" si="1">ROUND(D17/B17,2)</f>
        <v>0.73</v>
      </c>
      <c r="G17" s="24"/>
      <c r="H17" s="14"/>
      <c r="I17" s="14"/>
      <c r="J17" s="14">
        <f>+B17</f>
        <v>19815</v>
      </c>
      <c r="K17" s="13">
        <v>2013</v>
      </c>
      <c r="L17" s="14"/>
      <c r="M17" s="14"/>
      <c r="N17" s="14"/>
      <c r="O17" s="118">
        <f>VLOOKUP(A17,'SF Value'!$A$7:$N$18,13,FALSE)</f>
        <v>28866.378426358278</v>
      </c>
      <c r="P17" s="117"/>
      <c r="S17" s="14"/>
      <c r="T17" s="14"/>
      <c r="U17" s="14"/>
      <c r="V17" s="14"/>
      <c r="W17" s="14"/>
      <c r="Y17" s="14"/>
      <c r="AA17" s="14"/>
    </row>
    <row r="18" spans="1:27" s="16" customFormat="1" ht="11.25" x14ac:dyDescent="0.2">
      <c r="A18" s="17">
        <f>'SF Value'!A14</f>
        <v>42004</v>
      </c>
      <c r="B18" s="21">
        <v>19991</v>
      </c>
      <c r="C18" s="14"/>
      <c r="D18" s="20">
        <f>VLOOKUP(A18,'SF Value'!$A$6:$O$17,15,)</f>
        <v>16204.182176168504</v>
      </c>
      <c r="E18" s="14"/>
      <c r="F18" s="70">
        <f t="shared" si="1"/>
        <v>0.81</v>
      </c>
      <c r="G18" s="24"/>
      <c r="H18" s="22"/>
      <c r="I18" s="14"/>
      <c r="J18" s="14">
        <f>+B18</f>
        <v>19991</v>
      </c>
      <c r="K18" s="13">
        <v>2013</v>
      </c>
      <c r="O18" s="118">
        <f>VLOOKUP(A18,'SF Value'!$A$7:$N$18,13,FALSE)</f>
        <v>32405.482561274577</v>
      </c>
      <c r="P18" s="117"/>
    </row>
    <row r="19" spans="1:27" s="16" customFormat="1" ht="11.25" x14ac:dyDescent="0.2">
      <c r="A19" s="17">
        <f>'SF Value'!A15</f>
        <v>42035</v>
      </c>
      <c r="B19" s="21">
        <v>19938</v>
      </c>
      <c r="C19" s="14"/>
      <c r="D19" s="20">
        <f>VLOOKUP(A19,'SF Value'!$A$6:$O$17,15,)</f>
        <v>16201.397311047236</v>
      </c>
      <c r="E19" s="14"/>
      <c r="F19" s="70">
        <f t="shared" si="1"/>
        <v>0.81</v>
      </c>
      <c r="G19" s="24"/>
      <c r="H19" s="22"/>
      <c r="I19" s="14"/>
      <c r="J19" s="14">
        <f>+B19</f>
        <v>19938</v>
      </c>
      <c r="K19" s="13">
        <v>2014</v>
      </c>
      <c r="O19" s="118">
        <f>VLOOKUP(A19,'SF Value'!$A$7:$N$18,13,FALSE)</f>
        <v>32401.593342547567</v>
      </c>
      <c r="P19" s="117"/>
    </row>
    <row r="20" spans="1:27" s="16" customFormat="1" ht="11.25" x14ac:dyDescent="0.2">
      <c r="A20" s="17">
        <f>'SF Value'!A16</f>
        <v>42063</v>
      </c>
      <c r="B20" s="21">
        <v>19897</v>
      </c>
      <c r="C20" s="14"/>
      <c r="D20" s="20">
        <f>VLOOKUP(A20,'SF Value'!$A$6:$O$17,15,)</f>
        <v>11213.253142075115</v>
      </c>
      <c r="E20" s="14"/>
      <c r="F20" s="70">
        <f t="shared" si="1"/>
        <v>0.56000000000000005</v>
      </c>
      <c r="G20" s="24"/>
      <c r="H20" s="22"/>
      <c r="I20" s="14"/>
      <c r="J20" s="14">
        <f>+B20</f>
        <v>19897</v>
      </c>
      <c r="K20" s="13">
        <v>2014</v>
      </c>
      <c r="O20" s="118">
        <f>VLOOKUP(A20,'SF Value'!$A$7:$N$18,13,FALSE)</f>
        <v>22428.522108748741</v>
      </c>
      <c r="P20" s="34"/>
    </row>
    <row r="21" spans="1:27" s="16" customFormat="1" ht="11.25" x14ac:dyDescent="0.2">
      <c r="A21" s="17">
        <f>'SF Value'!A17</f>
        <v>42094</v>
      </c>
      <c r="B21" s="21">
        <v>19975</v>
      </c>
      <c r="C21" s="14"/>
      <c r="D21" s="20">
        <f>VLOOKUP(A21,'SF Value'!$A$6:$O$17,15,)</f>
        <v>13381.451510823228</v>
      </c>
      <c r="E21" s="14"/>
      <c r="F21" s="70">
        <f t="shared" si="1"/>
        <v>0.67</v>
      </c>
      <c r="G21" s="24"/>
      <c r="H21" s="22"/>
      <c r="I21" s="14"/>
      <c r="J21" s="14">
        <f t="shared" si="0"/>
        <v>19975</v>
      </c>
      <c r="K21" s="13">
        <v>2014</v>
      </c>
      <c r="O21" s="118">
        <f>VLOOKUP(A21,'SF Value'!$A$7:$N$18,13,FALSE)</f>
        <v>26764.082876994958</v>
      </c>
      <c r="P21" s="117"/>
    </row>
    <row r="22" spans="1:27" s="16" customFormat="1" ht="11.25" x14ac:dyDescent="0.2">
      <c r="A22" s="17">
        <f>'SF Value'!A18</f>
        <v>42124</v>
      </c>
      <c r="B22" s="21">
        <v>20163</v>
      </c>
      <c r="C22" s="14"/>
      <c r="D22" s="260">
        <v>8463.66</v>
      </c>
      <c r="E22" s="14"/>
      <c r="F22" s="70">
        <f t="shared" si="1"/>
        <v>0.42</v>
      </c>
      <c r="G22" s="24"/>
      <c r="H22" s="22"/>
      <c r="I22" s="14"/>
      <c r="J22" s="14">
        <f t="shared" si="0"/>
        <v>20163</v>
      </c>
      <c r="K22" s="13">
        <v>2014</v>
      </c>
      <c r="O22" s="118">
        <f>VLOOKUP(A22,'SF Value'!$A$7:$N$18,13,FALSE)</f>
        <v>28445.142257579089</v>
      </c>
      <c r="P22" s="117"/>
    </row>
    <row r="23" spans="1:27" s="16" customFormat="1" ht="11.25" x14ac:dyDescent="0.2">
      <c r="A23" s="17"/>
      <c r="B23" s="14"/>
      <c r="C23" s="14"/>
      <c r="E23" s="14"/>
      <c r="F23" s="73"/>
      <c r="G23" s="14"/>
      <c r="H23" s="14"/>
      <c r="I23" s="14"/>
      <c r="J23" s="14"/>
      <c r="K23" s="13"/>
      <c r="O23" s="119"/>
    </row>
    <row r="24" spans="1:27" s="16" customFormat="1" ht="11.25" x14ac:dyDescent="0.2">
      <c r="A24" s="17" t="s">
        <v>65</v>
      </c>
      <c r="B24" s="23">
        <f>SUM(B14:B23)</f>
        <v>179082</v>
      </c>
      <c r="C24" s="22" t="s">
        <v>10</v>
      </c>
      <c r="D24" s="72">
        <f>SUM(D14:D23)</f>
        <v>137465.56658152258</v>
      </c>
      <c r="E24" s="14"/>
      <c r="F24" s="72">
        <f>D24/B24</f>
        <v>0.76761241543830527</v>
      </c>
      <c r="G24" s="14"/>
      <c r="H24" s="14"/>
      <c r="I24" s="14"/>
      <c r="J24" s="14"/>
      <c r="K24" s="13"/>
      <c r="O24" s="119"/>
      <c r="P24" s="120" t="s">
        <v>59</v>
      </c>
    </row>
    <row r="25" spans="1:27" x14ac:dyDescent="0.2">
      <c r="D25" s="25"/>
      <c r="F25" s="25"/>
      <c r="O25" s="119">
        <f>SUM(O8:O24)</f>
        <v>398566.42801963456</v>
      </c>
      <c r="P25" s="121"/>
      <c r="Q25" s="16"/>
      <c r="R25" s="16"/>
    </row>
    <row r="26" spans="1:27" s="16" customFormat="1" ht="12" thickBot="1" x14ac:dyDescent="0.25">
      <c r="A26" s="26"/>
      <c r="B26" s="27">
        <f>+B12+B24</f>
        <v>238662</v>
      </c>
      <c r="C26" s="22"/>
      <c r="D26" s="71">
        <f>+D12+D24</f>
        <v>193544.8019135191</v>
      </c>
      <c r="E26" s="22" t="s">
        <v>11</v>
      </c>
      <c r="F26" s="111">
        <f>ROUND(D26/B26,3)</f>
        <v>0.81100000000000005</v>
      </c>
      <c r="G26" s="22" t="s">
        <v>12</v>
      </c>
      <c r="H26" s="14"/>
      <c r="I26" s="14"/>
      <c r="J26" s="27">
        <f>SUM(J8:J25)</f>
        <v>238662</v>
      </c>
      <c r="K26" s="22" t="s">
        <v>13</v>
      </c>
      <c r="O26" s="122">
        <f>ROUND(O25/J26,3)</f>
        <v>1.67</v>
      </c>
      <c r="P26" s="117" t="s">
        <v>60</v>
      </c>
    </row>
    <row r="27" spans="1:27" s="16" customFormat="1" ht="12" thickTop="1" x14ac:dyDescent="0.2">
      <c r="A27" s="16">
        <f>AVERAGE(B8:B10,B14:B22)</f>
        <v>19888.5</v>
      </c>
      <c r="B27" s="14"/>
      <c r="C27" s="14"/>
      <c r="D27" s="14"/>
      <c r="E27" s="14"/>
      <c r="F27" s="14"/>
      <c r="G27" s="14"/>
      <c r="H27" s="14"/>
      <c r="I27" s="14"/>
      <c r="J27" s="14"/>
      <c r="K27" s="14"/>
      <c r="O27" s="123">
        <f>+J22</f>
        <v>20163</v>
      </c>
      <c r="P27" s="117" t="s">
        <v>61</v>
      </c>
    </row>
    <row r="28" spans="1:27" s="16" customFormat="1" ht="11.25" x14ac:dyDescent="0.2">
      <c r="B28" s="14"/>
      <c r="C28" s="14"/>
      <c r="D28" s="14"/>
      <c r="E28" s="14"/>
      <c r="F28" s="14"/>
      <c r="G28" s="14"/>
      <c r="H28" s="14"/>
      <c r="I28" s="14"/>
      <c r="J28" s="14"/>
      <c r="K28" s="14"/>
      <c r="O28" s="117"/>
      <c r="P28" s="117" t="s">
        <v>62</v>
      </c>
    </row>
    <row r="29" spans="1:27" s="16" customFormat="1" ht="12" thickBot="1" x14ac:dyDescent="0.25">
      <c r="B29" s="28" t="s">
        <v>14</v>
      </c>
      <c r="C29" s="29"/>
      <c r="D29" s="29"/>
      <c r="E29" s="29"/>
      <c r="F29" s="14"/>
      <c r="G29" s="14"/>
      <c r="H29" s="14"/>
      <c r="I29" s="14"/>
      <c r="J29" s="14"/>
      <c r="K29" s="14"/>
    </row>
    <row r="30" spans="1:27" s="16" customFormat="1" ht="12" thickTop="1" x14ac:dyDescent="0.2">
      <c r="A30" s="6"/>
      <c r="B30" s="30"/>
      <c r="C30" s="14"/>
      <c r="D30" s="14"/>
      <c r="E30" s="14"/>
      <c r="F30" s="14"/>
      <c r="G30" s="14"/>
      <c r="H30" s="14"/>
      <c r="I30" s="14"/>
      <c r="J30" s="14"/>
      <c r="K30" s="14"/>
      <c r="X30" s="14"/>
      <c r="Y30" s="14"/>
    </row>
    <row r="31" spans="1:27" s="16" customFormat="1" ht="11.25" x14ac:dyDescent="0.2">
      <c r="A31" s="8"/>
      <c r="B31" s="30"/>
      <c r="C31" s="14"/>
      <c r="D31" s="14"/>
      <c r="E31" s="14"/>
      <c r="F31" s="31" t="s">
        <v>15</v>
      </c>
      <c r="G31" s="14">
        <f>ROUND(D26,0)</f>
        <v>193545</v>
      </c>
      <c r="H31" s="22" t="s">
        <v>11</v>
      </c>
      <c r="I31" s="14"/>
      <c r="J31" s="14"/>
      <c r="K31" s="14"/>
      <c r="Q31" s="13"/>
      <c r="R31" s="13"/>
    </row>
    <row r="32" spans="1:27" s="13" customFormat="1" ht="11.25" x14ac:dyDescent="0.2">
      <c r="A32" s="32"/>
      <c r="B32" s="30"/>
      <c r="C32" s="14"/>
      <c r="D32" s="14"/>
      <c r="E32" s="14"/>
      <c r="F32" s="14"/>
      <c r="G32" s="14"/>
      <c r="H32" s="22"/>
      <c r="I32" s="14"/>
      <c r="J32" s="14"/>
      <c r="K32" s="14"/>
      <c r="O32" s="16">
        <f>12*O27*O26</f>
        <v>404066.51999999996</v>
      </c>
      <c r="P32" s="13" t="s">
        <v>63</v>
      </c>
      <c r="Q32" s="16"/>
      <c r="R32" s="16"/>
      <c r="W32" s="14"/>
      <c r="X32" s="16"/>
      <c r="Y32" s="16"/>
      <c r="AA32" s="14"/>
    </row>
    <row r="33" spans="2:27" s="16" customFormat="1" ht="11.25" x14ac:dyDescent="0.2">
      <c r="B33" s="14" t="s">
        <v>16</v>
      </c>
      <c r="C33" s="14"/>
      <c r="D33" s="14"/>
      <c r="E33" s="14"/>
      <c r="F33" s="33">
        <v>0.84199999999999997</v>
      </c>
      <c r="G33" s="14"/>
      <c r="H33" s="14"/>
      <c r="I33" s="14"/>
      <c r="J33" s="14"/>
      <c r="K33" s="14"/>
      <c r="O33" s="16">
        <f>12*O27*G56</f>
        <v>196205.5003365122</v>
      </c>
      <c r="P33" s="16" t="s">
        <v>64</v>
      </c>
    </row>
    <row r="34" spans="2:27" s="16" customFormat="1" ht="11.25" x14ac:dyDescent="0.2">
      <c r="B34" s="74" t="str">
        <f>"Customers from "&amp;TEXT($A$8,"mm/yy")&amp;" - "&amp;TEXT($A$10,"mm/yy")</f>
        <v>Customers from 05/14 - 07/14</v>
      </c>
      <c r="D34" s="14"/>
      <c r="E34" s="14"/>
      <c r="F34" s="34">
        <f>SUM(B8:B10)</f>
        <v>59580</v>
      </c>
      <c r="G34" s="22" t="s">
        <v>9</v>
      </c>
      <c r="H34" s="14"/>
      <c r="I34" s="14"/>
      <c r="J34" s="14"/>
      <c r="K34" s="14"/>
      <c r="O34" s="124">
        <f>+O33/O32</f>
        <v>0.48557722707764112</v>
      </c>
    </row>
    <row r="35" spans="2:27" s="16" customFormat="1" ht="11.25" x14ac:dyDescent="0.2">
      <c r="B35" s="14"/>
      <c r="C35" s="14" t="s">
        <v>17</v>
      </c>
      <c r="D35" s="14"/>
      <c r="E35" s="14"/>
      <c r="F35" s="23">
        <f>ROUND(F33*F34,0)</f>
        <v>50166</v>
      </c>
      <c r="G35" s="22"/>
      <c r="H35" s="14"/>
      <c r="I35" s="14"/>
      <c r="J35" s="14"/>
      <c r="K35" s="14"/>
    </row>
    <row r="36" spans="2:27" s="16" customFormat="1" ht="11.25" x14ac:dyDescent="0.2">
      <c r="B36" s="14"/>
      <c r="C36" s="14"/>
      <c r="D36" s="14"/>
      <c r="E36" s="14"/>
      <c r="F36" s="34"/>
      <c r="G36" s="22"/>
      <c r="H36" s="14"/>
      <c r="I36" s="14"/>
      <c r="J36" s="14"/>
      <c r="K36" s="16">
        <f>D26/O25</f>
        <v>0.48560236966065917</v>
      </c>
    </row>
    <row r="37" spans="2:27" s="16" customFormat="1" ht="11.25" x14ac:dyDescent="0.2">
      <c r="B37" s="14" t="s">
        <v>16</v>
      </c>
      <c r="C37" s="14"/>
      <c r="D37" s="14"/>
      <c r="E37" s="14"/>
      <c r="F37" s="33">
        <v>0.87</v>
      </c>
      <c r="G37" s="14"/>
      <c r="H37" s="14"/>
      <c r="I37" s="14"/>
      <c r="J37" s="14"/>
      <c r="K37" s="14"/>
    </row>
    <row r="38" spans="2:27" s="16" customFormat="1" ht="11.25" x14ac:dyDescent="0.2">
      <c r="B38" s="74" t="str">
        <f>"Customers from "&amp;TEXT(A14,"mm/yy")&amp;" - "&amp;TEXT($A$22,"mm/yy")</f>
        <v>Customers from 08/14 - 04/15</v>
      </c>
      <c r="D38" s="14"/>
      <c r="E38" s="14"/>
      <c r="F38" s="14">
        <f>B24</f>
        <v>179082</v>
      </c>
      <c r="G38" s="22" t="s">
        <v>10</v>
      </c>
      <c r="H38" s="14"/>
      <c r="I38" s="14"/>
      <c r="J38" s="14"/>
      <c r="K38" s="14"/>
    </row>
    <row r="39" spans="2:27" s="16" customFormat="1" ht="11.25" x14ac:dyDescent="0.2">
      <c r="B39" s="14"/>
      <c r="C39" s="14" t="s">
        <v>17</v>
      </c>
      <c r="D39" s="14"/>
      <c r="E39" s="14"/>
      <c r="F39" s="23">
        <f>ROUND(F37*F38,0)</f>
        <v>155801</v>
      </c>
      <c r="G39" s="22"/>
      <c r="H39" s="14"/>
      <c r="I39" s="14"/>
      <c r="J39" s="14"/>
      <c r="K39" s="14"/>
    </row>
    <row r="40" spans="2:27" s="16" customFormat="1" ht="11.25" x14ac:dyDescent="0.2">
      <c r="B40" s="14"/>
      <c r="C40" s="14"/>
      <c r="D40" s="14"/>
      <c r="E40" s="14"/>
      <c r="F40" s="35"/>
      <c r="G40" s="22"/>
      <c r="H40" s="14"/>
      <c r="I40" s="14"/>
      <c r="J40" s="14"/>
      <c r="K40" s="14"/>
    </row>
    <row r="41" spans="2:27" s="16" customFormat="1" ht="12" thickBot="1" x14ac:dyDescent="0.25">
      <c r="B41" s="14"/>
      <c r="C41" s="14" t="s">
        <v>18</v>
      </c>
      <c r="D41" s="14"/>
      <c r="E41" s="14"/>
      <c r="F41" s="27">
        <f>+F35+F39</f>
        <v>205967</v>
      </c>
      <c r="G41" s="36">
        <f>+F41</f>
        <v>205967</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1" t="str">
        <f>IF(G44&lt;=0,"Excess","Deficient")&amp;" Commodity Credits"</f>
        <v>Excess Commodity Credits</v>
      </c>
      <c r="G44" s="37">
        <f>+G31-G41</f>
        <v>-12422</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8" t="str">
        <f>$K$22&amp;" Recycle Adjustment Calculation"</f>
        <v>2014 Recycle Adjustment Calculation</v>
      </c>
      <c r="C47" s="29"/>
      <c r="D47" s="29"/>
      <c r="E47" s="29"/>
      <c r="F47" s="29"/>
      <c r="G47" s="14"/>
      <c r="H47" s="14"/>
      <c r="I47" s="14"/>
      <c r="J47" s="14"/>
      <c r="K47" s="14"/>
      <c r="O47" s="14"/>
      <c r="P47" s="14"/>
      <c r="Q47" s="14"/>
      <c r="R47" s="14"/>
    </row>
    <row r="48" spans="2:27" s="16" customFormat="1" ht="12" thickTop="1" x14ac:dyDescent="0.2">
      <c r="B48" s="30"/>
      <c r="C48" s="14"/>
      <c r="D48" s="14"/>
      <c r="E48" s="14"/>
      <c r="F48" s="14"/>
      <c r="G48" s="14"/>
      <c r="H48" s="14"/>
      <c r="I48" s="14"/>
      <c r="J48" s="14"/>
      <c r="K48" s="14"/>
      <c r="L48" s="14"/>
      <c r="M48" s="14"/>
      <c r="N48" s="14"/>
      <c r="S48" s="14"/>
      <c r="T48" s="14"/>
      <c r="U48" s="14"/>
      <c r="V48" s="14"/>
      <c r="W48" s="14"/>
      <c r="AA48" s="14"/>
    </row>
    <row r="49" spans="1:25" s="16" customFormat="1" ht="11.25" x14ac:dyDescent="0.2">
      <c r="B49" s="14" t="str">
        <f>$K$10&amp;"/"&amp;$K$22&amp;" True-up Computation"</f>
        <v>2013/2014 True-up Computation</v>
      </c>
      <c r="C49" s="14"/>
      <c r="D49" s="14"/>
      <c r="E49" s="14"/>
      <c r="F49" s="14"/>
      <c r="G49" s="14"/>
      <c r="H49" s="14"/>
      <c r="I49" s="14"/>
      <c r="J49" s="14"/>
      <c r="K49" s="14"/>
    </row>
    <row r="50" spans="1:25" s="16" customFormat="1" ht="11.25" x14ac:dyDescent="0.2">
      <c r="B50" s="14"/>
      <c r="C50" s="14"/>
      <c r="D50" s="14"/>
      <c r="E50" s="14"/>
      <c r="F50" s="31" t="s">
        <v>19</v>
      </c>
      <c r="G50" s="14">
        <f>+J26</f>
        <v>238662</v>
      </c>
      <c r="H50" s="22" t="s">
        <v>13</v>
      </c>
      <c r="I50" s="14"/>
      <c r="J50" s="14"/>
      <c r="K50" s="14"/>
    </row>
    <row r="51" spans="1:25" s="16" customFormat="1" ht="11.25" x14ac:dyDescent="0.2">
      <c r="B51" s="14"/>
      <c r="C51" s="14"/>
      <c r="D51" s="14"/>
      <c r="E51" s="14"/>
      <c r="F51" s="31" t="str">
        <f>F44</f>
        <v>Excess Commodity Credits</v>
      </c>
      <c r="G51" s="14">
        <f>+G44</f>
        <v>-12422</v>
      </c>
      <c r="H51" s="14"/>
      <c r="I51" s="14"/>
      <c r="J51" s="14"/>
      <c r="K51" s="14"/>
    </row>
    <row r="52" spans="1:25" s="16" customFormat="1" ht="11.25" x14ac:dyDescent="0.2">
      <c r="B52" s="14"/>
      <c r="C52" s="14"/>
      <c r="D52" s="14"/>
      <c r="E52" s="14"/>
      <c r="F52" s="31"/>
      <c r="G52" s="14"/>
      <c r="H52" s="14"/>
      <c r="I52" s="14"/>
      <c r="J52" s="14"/>
      <c r="K52" s="14"/>
    </row>
    <row r="53" spans="1:25" s="16" customFormat="1" ht="12" thickBot="1" x14ac:dyDescent="0.25">
      <c r="B53" s="14"/>
      <c r="C53" s="14"/>
      <c r="D53" s="14"/>
      <c r="E53" s="14"/>
      <c r="F53" s="31" t="str">
        <f>$K$10&amp;"/"&amp;$K$22&amp;" Monthly True-up Charge"</f>
        <v>2013/2014 Monthly True-up Charge</v>
      </c>
      <c r="G53" s="38">
        <f>ROUND(G51/G50,3)</f>
        <v>-5.1999999999999998E-2</v>
      </c>
      <c r="H53" s="14"/>
      <c r="I53" s="24">
        <f>+G53</f>
        <v>-5.1999999999999998E-2</v>
      </c>
      <c r="J53" s="14"/>
      <c r="K53" s="14"/>
    </row>
    <row r="54" spans="1:25" s="16" customFormat="1" ht="12" thickTop="1" x14ac:dyDescent="0.2">
      <c r="B54" s="14"/>
      <c r="C54" s="14"/>
      <c r="D54" s="14"/>
      <c r="E54" s="14"/>
      <c r="F54" s="31"/>
      <c r="G54" s="14"/>
      <c r="H54" s="14"/>
      <c r="I54" s="24"/>
      <c r="J54" s="14"/>
      <c r="K54" s="14"/>
      <c r="Y54" s="14"/>
    </row>
    <row r="55" spans="1:25" s="16" customFormat="1" ht="11.25" x14ac:dyDescent="0.2">
      <c r="B55" s="14" t="str">
        <f>$K$22&amp;"/"&amp;$K$22+1&amp;" Projected Credit at 50% Retention"</f>
        <v>2014/2015 Projected Credit at 50% Retention</v>
      </c>
      <c r="C55" s="14"/>
      <c r="D55" s="14"/>
      <c r="E55" s="14"/>
      <c r="F55" s="31"/>
      <c r="G55" s="14"/>
      <c r="H55" s="14"/>
      <c r="I55" s="24"/>
      <c r="J55" s="14"/>
      <c r="K55" s="14"/>
      <c r="N55" s="125" t="s">
        <v>67</v>
      </c>
    </row>
    <row r="56" spans="1:25" s="16" customFormat="1" ht="12" thickBot="1" x14ac:dyDescent="0.25">
      <c r="B56" s="30"/>
      <c r="C56" s="14"/>
      <c r="D56" s="14"/>
      <c r="E56" s="14"/>
      <c r="F56" s="31" t="s">
        <v>54</v>
      </c>
      <c r="G56" s="127">
        <f>+F26/'SF Value'!P20*N56</f>
        <v>0.81091396921966052</v>
      </c>
      <c r="H56" s="14"/>
      <c r="I56" s="24">
        <f>+G56</f>
        <v>0.81091396921966052</v>
      </c>
      <c r="J56" s="22" t="s">
        <v>12</v>
      </c>
      <c r="K56" s="14"/>
      <c r="N56" s="126">
        <f>+'[28]WUTC_AW of Kent_MF'!$O$56</f>
        <v>0.5</v>
      </c>
    </row>
    <row r="57" spans="1:25" s="14" customFormat="1" ht="12" thickTop="1" x14ac:dyDescent="0.2">
      <c r="B57" s="30"/>
      <c r="I57" s="24"/>
      <c r="X57" s="16"/>
      <c r="Y57" s="16"/>
    </row>
    <row r="58" spans="1:25" s="16" customFormat="1" ht="12" thickBot="1" x14ac:dyDescent="0.25">
      <c r="B58" s="14"/>
      <c r="C58" s="14"/>
      <c r="D58" s="14"/>
      <c r="E58" s="14"/>
      <c r="F58" s="14"/>
      <c r="G58" s="31" t="str">
        <f>$K$22&amp;"/"&amp;$K$22+1&amp;" Adjusted Credit"</f>
        <v>2014/2015 Adjusted Credit</v>
      </c>
      <c r="H58" s="27"/>
      <c r="I58" s="38">
        <f>+I53+I56</f>
        <v>0.75891396921966048</v>
      </c>
      <c r="J58" s="14"/>
      <c r="K58" s="14"/>
    </row>
    <row r="59" spans="1:25" s="16" customFormat="1" ht="12" thickTop="1" x14ac:dyDescent="0.2">
      <c r="I59" s="24"/>
    </row>
    <row r="60" spans="1:25" s="16" customFormat="1" ht="11.25" x14ac:dyDescent="0.2"/>
    <row r="61" spans="1:25" s="16" customFormat="1" ht="11.25" x14ac:dyDescent="0.2"/>
    <row r="62" spans="1:25" s="16" customFormat="1" ht="11.25" x14ac:dyDescent="0.2"/>
    <row r="63" spans="1:25" s="16" customFormat="1" ht="11.25" x14ac:dyDescent="0.2">
      <c r="G63" s="109" t="s">
        <v>56</v>
      </c>
      <c r="I63" s="73">
        <f>'[29]2014-2015'!$C$7</f>
        <v>3397.6389077482795</v>
      </c>
    </row>
    <row r="64" spans="1:25" s="16" customFormat="1" ht="11.25" x14ac:dyDescent="0.2">
      <c r="A64" s="39"/>
      <c r="B64" s="39"/>
      <c r="C64" s="39"/>
      <c r="D64" s="39"/>
      <c r="E64" s="39"/>
      <c r="F64" s="39"/>
    </row>
    <row r="65" spans="1:27" s="16" customFormat="1" ht="11.25" x14ac:dyDescent="0.2">
      <c r="A65" s="40"/>
      <c r="B65" s="42"/>
      <c r="C65" s="41"/>
      <c r="D65" s="39"/>
      <c r="E65" s="39"/>
      <c r="F65" s="39"/>
      <c r="G65" s="109" t="s">
        <v>57</v>
      </c>
      <c r="I65" s="110">
        <f>I63/(B22*12)</f>
        <v>1.404238335791747E-2</v>
      </c>
    </row>
    <row r="66" spans="1:27" s="16" customFormat="1" ht="11.25" x14ac:dyDescent="0.2">
      <c r="A66" s="40"/>
      <c r="B66" s="42"/>
      <c r="C66" s="42"/>
      <c r="D66" s="39"/>
      <c r="E66" s="39"/>
      <c r="F66" s="39"/>
    </row>
    <row r="67" spans="1:27" s="16" customFormat="1" ht="12" thickBot="1" x14ac:dyDescent="0.25">
      <c r="A67" s="40"/>
      <c r="B67" s="43"/>
      <c r="C67" s="42"/>
      <c r="D67" s="39"/>
      <c r="E67" s="39"/>
      <c r="F67" s="39"/>
      <c r="G67" s="31" t="str">
        <f>$K$22+1&amp;" Net Credit"</f>
        <v>2015 Net Credit</v>
      </c>
      <c r="H67" s="27"/>
      <c r="I67" s="128">
        <f>+I58+I65</f>
        <v>0.772956352577578</v>
      </c>
    </row>
    <row r="68" spans="1:27" s="16" customFormat="1" ht="12" thickTop="1" x14ac:dyDescent="0.2">
      <c r="A68" s="40"/>
      <c r="B68" s="43"/>
      <c r="C68" s="42"/>
      <c r="D68" s="39"/>
      <c r="E68" s="39"/>
      <c r="F68" s="39"/>
    </row>
    <row r="69" spans="1:27" s="16" customFormat="1" ht="11.25" x14ac:dyDescent="0.2">
      <c r="A69" s="40"/>
      <c r="B69" s="43"/>
      <c r="C69" s="42"/>
      <c r="D69" s="39"/>
      <c r="E69" s="39"/>
      <c r="F69" s="39"/>
    </row>
    <row r="70" spans="1:27" s="16" customFormat="1" ht="11.25" x14ac:dyDescent="0.2">
      <c r="A70" s="40"/>
      <c r="B70" s="43"/>
      <c r="C70" s="42"/>
      <c r="D70" s="39"/>
      <c r="E70" s="39"/>
      <c r="F70" s="39"/>
      <c r="Y70" s="14"/>
    </row>
    <row r="71" spans="1:27" s="16" customFormat="1" ht="11.25" x14ac:dyDescent="0.2">
      <c r="A71" s="40"/>
      <c r="B71" s="43"/>
      <c r="C71" s="42"/>
      <c r="D71" s="39"/>
      <c r="E71" s="39"/>
      <c r="F71" s="39"/>
    </row>
    <row r="72" spans="1:27" s="16" customFormat="1" ht="11.25" x14ac:dyDescent="0.2">
      <c r="A72" s="40"/>
      <c r="B72" s="43"/>
      <c r="C72" s="42"/>
      <c r="D72" s="39"/>
      <c r="E72" s="39"/>
      <c r="F72" s="39"/>
    </row>
    <row r="73" spans="1:27" s="16" customFormat="1" ht="11.25" x14ac:dyDescent="0.2">
      <c r="A73" s="40"/>
      <c r="B73" s="43"/>
      <c r="C73" s="42"/>
      <c r="D73" s="39"/>
      <c r="E73" s="39"/>
      <c r="F73" s="39"/>
    </row>
    <row r="74" spans="1:27" s="16" customFormat="1" ht="11.25" x14ac:dyDescent="0.2">
      <c r="A74" s="40"/>
      <c r="B74" s="43"/>
      <c r="C74" s="42"/>
      <c r="D74" s="39"/>
      <c r="E74" s="44"/>
      <c r="F74" s="39"/>
      <c r="G74" s="14"/>
      <c r="H74" s="13"/>
      <c r="I74" s="14"/>
      <c r="J74" s="14"/>
      <c r="K74" s="13"/>
      <c r="L74" s="14"/>
      <c r="M74" s="14"/>
      <c r="N74" s="14"/>
      <c r="O74" s="14"/>
      <c r="P74" s="14"/>
      <c r="Q74" s="14"/>
      <c r="R74" s="14"/>
      <c r="S74" s="14"/>
      <c r="T74" s="14"/>
      <c r="U74" s="14"/>
      <c r="V74" s="13"/>
      <c r="W74" s="14"/>
      <c r="AA74" s="14"/>
    </row>
    <row r="75" spans="1:27" s="16" customFormat="1" ht="11.25" x14ac:dyDescent="0.2">
      <c r="A75" s="40"/>
      <c r="B75" s="43"/>
      <c r="C75" s="42"/>
      <c r="D75" s="39"/>
      <c r="E75" s="39"/>
      <c r="F75" s="39"/>
    </row>
    <row r="76" spans="1:27" s="16" customFormat="1" ht="11.25" x14ac:dyDescent="0.2">
      <c r="A76" s="40"/>
      <c r="B76" s="42"/>
      <c r="C76" s="42"/>
      <c r="D76" s="39"/>
      <c r="E76" s="39"/>
      <c r="F76" s="39"/>
    </row>
    <row r="77" spans="1:27" s="16" customFormat="1" ht="11.25" x14ac:dyDescent="0.2">
      <c r="A77" s="40"/>
      <c r="B77" s="42"/>
      <c r="C77" s="41"/>
      <c r="D77" s="39"/>
      <c r="E77" s="39"/>
      <c r="F77" s="39"/>
    </row>
    <row r="78" spans="1:27" s="16" customFormat="1" x14ac:dyDescent="0.2">
      <c r="A78" s="45"/>
      <c r="B78" s="45"/>
      <c r="C78" s="45"/>
      <c r="D78" s="46"/>
      <c r="E78" s="39"/>
      <c r="F78" s="45"/>
    </row>
    <row r="79" spans="1:27" s="16" customFormat="1" ht="11.25" x14ac:dyDescent="0.2">
      <c r="A79" s="47"/>
      <c r="B79" s="42"/>
      <c r="C79" s="41"/>
      <c r="D79" s="39"/>
      <c r="E79" s="39"/>
      <c r="F79" s="48"/>
      <c r="Y79" s="14"/>
    </row>
    <row r="80" spans="1:27" s="16" customFormat="1" ht="11.25" x14ac:dyDescent="0.2"/>
    <row r="81" spans="1:27" s="16" customFormat="1" ht="11.25" x14ac:dyDescent="0.2"/>
    <row r="82" spans="1:27" s="16" customFormat="1" ht="11.25" x14ac:dyDescent="0.2"/>
    <row r="83" spans="1:27" s="16" customFormat="1" ht="11.25" x14ac:dyDescent="0.2">
      <c r="B83" s="8"/>
    </row>
    <row r="84" spans="1:27" s="14" customFormat="1" ht="11.25" x14ac:dyDescent="0.2">
      <c r="B84" s="30"/>
      <c r="X84" s="16"/>
      <c r="Y84" s="16"/>
    </row>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row r="92" spans="1:27" s="16" customFormat="1" ht="11.25" x14ac:dyDescent="0.2"/>
    <row r="93" spans="1:27" s="16" customFormat="1" ht="11.25" x14ac:dyDescent="0.2">
      <c r="A93" s="6"/>
    </row>
    <row r="94" spans="1:27" s="16" customFormat="1" x14ac:dyDescent="0.2">
      <c r="AA94" s="5"/>
    </row>
    <row r="95" spans="1:27" s="16" customFormat="1" x14ac:dyDescent="0.2">
      <c r="AA95" s="5"/>
    </row>
    <row r="96" spans="1:27" s="16" customFormat="1" x14ac:dyDescent="0.2">
      <c r="AA96" s="5"/>
    </row>
    <row r="97" spans="7:27" s="16" customFormat="1" x14ac:dyDescent="0.2">
      <c r="AA97" s="5"/>
    </row>
    <row r="98" spans="7:27" s="16" customFormat="1" x14ac:dyDescent="0.2">
      <c r="G98" s="49"/>
      <c r="I98" s="49"/>
      <c r="J98" s="49"/>
      <c r="L98" s="49"/>
      <c r="M98" s="49"/>
      <c r="N98" s="49"/>
      <c r="O98" s="49"/>
      <c r="P98" s="49"/>
      <c r="Q98" s="49"/>
      <c r="R98" s="49"/>
      <c r="S98" s="49"/>
      <c r="T98" s="49"/>
      <c r="U98" s="49"/>
      <c r="V98" s="49"/>
      <c r="W98" s="49"/>
      <c r="X98" s="49"/>
      <c r="Y98" s="49"/>
      <c r="AA98" s="5"/>
    </row>
    <row r="99" spans="7:27" s="16" customFormat="1" x14ac:dyDescent="0.2">
      <c r="AA99" s="5"/>
    </row>
    <row r="100" spans="7:27" s="16" customFormat="1" ht="13.5" thickBot="1" x14ac:dyDescent="0.25">
      <c r="G100" s="50"/>
      <c r="I100" s="50"/>
      <c r="J100" s="50"/>
      <c r="L100" s="50"/>
      <c r="M100" s="50"/>
      <c r="N100" s="50"/>
      <c r="O100" s="50"/>
      <c r="P100" s="50"/>
      <c r="Q100" s="50"/>
      <c r="R100" s="50"/>
      <c r="S100" s="50"/>
      <c r="T100" s="50"/>
      <c r="U100" s="50"/>
      <c r="V100" s="50"/>
      <c r="W100" s="50"/>
      <c r="X100" s="50"/>
      <c r="Y100" s="50"/>
      <c r="AA100" s="5"/>
    </row>
    <row r="101" spans="7:27" ht="13.5" thickTop="1" x14ac:dyDescent="0.2"/>
    <row r="102" spans="7:27" x14ac:dyDescent="0.2">
      <c r="W102" s="51"/>
      <c r="X102" s="51"/>
      <c r="Y102" s="51"/>
    </row>
    <row r="103" spans="7:27" x14ac:dyDescent="0.2">
      <c r="W103" s="51"/>
      <c r="AA103" s="51"/>
    </row>
  </sheetData>
  <phoneticPr fontId="0" type="noConversion"/>
  <printOptions horizontalCentered="1"/>
  <pageMargins left="0" right="0" top="0.52" bottom="0.44" header="0" footer="0"/>
  <pageSetup scale="56" orientation="portrait" horizontalDpi="4294967292" verticalDpi="4294967292" r:id="rId1"/>
  <headerFooter alignWithMargins="0">
    <oddFooter>&amp;R&amp;"Helv,Regular"&amp;6\\SERVER1\PUBLIC\EXCEL&amp;F,&amp;A</oddFooter>
  </headerFooter>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3:H31"/>
  <sheetViews>
    <sheetView topLeftCell="A10" workbookViewId="0">
      <selection activeCell="K31" sqref="K31"/>
    </sheetView>
  </sheetViews>
  <sheetFormatPr defaultColWidth="8.85546875" defaultRowHeight="15" x14ac:dyDescent="0.25"/>
  <cols>
    <col min="1" max="1" width="14" style="238" bestFit="1" customWidth="1"/>
    <col min="2" max="2" width="15.42578125" style="238" bestFit="1" customWidth="1"/>
    <col min="3" max="3" width="11.42578125" style="238" customWidth="1"/>
    <col min="4" max="4" width="8.85546875" style="238"/>
    <col min="5" max="5" width="11.7109375" style="238" customWidth="1"/>
    <col min="6" max="6" width="12" style="238" bestFit="1" customWidth="1"/>
    <col min="7" max="7" width="8.85546875" style="238"/>
    <col min="8" max="8" width="12.28515625" style="238" customWidth="1"/>
    <col min="9" max="16384" width="8.85546875" style="238"/>
  </cols>
  <sheetData>
    <row r="3" spans="1:8" ht="30" x14ac:dyDescent="0.25">
      <c r="C3" s="261" t="s">
        <v>149</v>
      </c>
      <c r="D3" s="262" t="s">
        <v>150</v>
      </c>
      <c r="E3" s="263" t="s">
        <v>151</v>
      </c>
      <c r="F3" s="241" t="s">
        <v>152</v>
      </c>
      <c r="G3" s="263" t="s">
        <v>153</v>
      </c>
      <c r="H3" s="263" t="s">
        <v>154</v>
      </c>
    </row>
    <row r="4" spans="1:8" x14ac:dyDescent="0.25">
      <c r="A4" s="238" t="s">
        <v>155</v>
      </c>
      <c r="B4" s="264">
        <v>41790</v>
      </c>
      <c r="C4" s="265">
        <v>6459</v>
      </c>
      <c r="D4" s="266">
        <v>172.39</v>
      </c>
      <c r="E4" s="238">
        <v>1803</v>
      </c>
      <c r="F4" s="267">
        <v>53.485943696825665</v>
      </c>
      <c r="G4" s="268">
        <v>118.90405630317431</v>
      </c>
      <c r="H4" s="269">
        <v>4656</v>
      </c>
    </row>
    <row r="5" spans="1:8" x14ac:dyDescent="0.25">
      <c r="A5" s="238" t="s">
        <v>155</v>
      </c>
      <c r="B5" s="264">
        <v>41820</v>
      </c>
      <c r="C5" s="265">
        <v>6883</v>
      </c>
      <c r="D5" s="266">
        <v>217.34</v>
      </c>
      <c r="E5" s="238">
        <v>1849</v>
      </c>
      <c r="F5" s="267">
        <v>60.743709398883389</v>
      </c>
      <c r="G5" s="268">
        <v>156.59629060111661</v>
      </c>
      <c r="H5" s="269">
        <v>5034</v>
      </c>
    </row>
    <row r="6" spans="1:8" x14ac:dyDescent="0.25">
      <c r="A6" s="238" t="s">
        <v>155</v>
      </c>
      <c r="B6" s="264">
        <v>41851</v>
      </c>
      <c r="C6" s="265">
        <v>6563</v>
      </c>
      <c r="D6" s="266">
        <v>178.17</v>
      </c>
      <c r="E6" s="238">
        <v>1817</v>
      </c>
      <c r="F6" s="267">
        <v>30.366660725190737</v>
      </c>
      <c r="G6" s="268">
        <v>147.80333927480925</v>
      </c>
      <c r="H6" s="269">
        <v>4746</v>
      </c>
    </row>
    <row r="7" spans="1:8" x14ac:dyDescent="0.25">
      <c r="A7" s="238" t="s">
        <v>155</v>
      </c>
      <c r="B7" s="270">
        <v>41882</v>
      </c>
      <c r="C7" s="265">
        <v>6526</v>
      </c>
      <c r="D7" s="266">
        <v>172.65</v>
      </c>
      <c r="E7" s="238">
        <v>1817</v>
      </c>
      <c r="F7" s="267">
        <v>54.183057805231876</v>
      </c>
      <c r="G7" s="268">
        <v>118.46694219476814</v>
      </c>
      <c r="H7" s="269">
        <v>4709</v>
      </c>
    </row>
    <row r="8" spans="1:8" x14ac:dyDescent="0.25">
      <c r="A8" s="238" t="s">
        <v>155</v>
      </c>
      <c r="B8" s="270">
        <v>41912</v>
      </c>
      <c r="C8" s="265">
        <v>6515</v>
      </c>
      <c r="D8" s="266">
        <v>138.03</v>
      </c>
      <c r="E8" s="238">
        <v>1810</v>
      </c>
      <c r="F8" s="267">
        <v>39.661149112899466</v>
      </c>
      <c r="G8" s="268">
        <v>98.368850887100535</v>
      </c>
      <c r="H8" s="269">
        <v>4705</v>
      </c>
    </row>
    <row r="9" spans="1:8" x14ac:dyDescent="0.25">
      <c r="A9" s="238" t="s">
        <v>155</v>
      </c>
      <c r="B9" s="270">
        <v>41943</v>
      </c>
      <c r="C9" s="265">
        <v>6456</v>
      </c>
      <c r="D9" s="266">
        <v>142.06</v>
      </c>
      <c r="E9" s="238">
        <v>1798</v>
      </c>
      <c r="F9" s="267">
        <v>42.022769579580775</v>
      </c>
      <c r="G9" s="268">
        <v>100.03723042041923</v>
      </c>
      <c r="H9" s="269">
        <v>4658</v>
      </c>
    </row>
    <row r="10" spans="1:8" x14ac:dyDescent="0.25">
      <c r="A10" s="238" t="s">
        <v>155</v>
      </c>
      <c r="B10" s="270">
        <v>41973</v>
      </c>
      <c r="C10" s="265">
        <v>6457</v>
      </c>
      <c r="D10" s="266">
        <v>128.36000000000001</v>
      </c>
      <c r="E10" s="238">
        <v>1808</v>
      </c>
      <c r="F10" s="267">
        <v>39.301567884280601</v>
      </c>
      <c r="G10" s="268">
        <v>89.058432115719413</v>
      </c>
      <c r="H10" s="269">
        <v>4649</v>
      </c>
    </row>
    <row r="11" spans="1:8" x14ac:dyDescent="0.25">
      <c r="A11" s="238" t="s">
        <v>155</v>
      </c>
      <c r="B11" s="270">
        <v>42004</v>
      </c>
      <c r="C11" s="265">
        <v>6528</v>
      </c>
      <c r="D11" s="266">
        <v>218.48</v>
      </c>
      <c r="E11" s="238">
        <v>1815</v>
      </c>
      <c r="F11" s="267">
        <v>45.734765528186365</v>
      </c>
      <c r="G11" s="268">
        <v>172.74523447181363</v>
      </c>
      <c r="H11" s="269">
        <v>4713</v>
      </c>
    </row>
    <row r="12" spans="1:8" x14ac:dyDescent="0.25">
      <c r="A12" s="238" t="s">
        <v>155</v>
      </c>
      <c r="B12" s="270">
        <v>42035</v>
      </c>
      <c r="C12" s="265">
        <v>6467</v>
      </c>
      <c r="D12" s="266">
        <v>183.77</v>
      </c>
      <c r="E12" s="238">
        <v>1802</v>
      </c>
      <c r="F12" s="267">
        <v>58.273752715485983</v>
      </c>
      <c r="G12" s="268">
        <v>125.49624728451403</v>
      </c>
      <c r="H12" s="269">
        <v>4665</v>
      </c>
    </row>
    <row r="13" spans="1:8" x14ac:dyDescent="0.25">
      <c r="A13" s="238" t="s">
        <v>155</v>
      </c>
      <c r="B13" s="270">
        <v>42063</v>
      </c>
      <c r="C13" s="265">
        <v>6524</v>
      </c>
      <c r="D13" s="266">
        <v>132.84</v>
      </c>
      <c r="E13" s="238">
        <v>1812</v>
      </c>
      <c r="F13" s="267">
        <v>40.018677306134038</v>
      </c>
      <c r="G13" s="268">
        <v>92.821322693865966</v>
      </c>
      <c r="H13" s="269">
        <v>4712</v>
      </c>
    </row>
    <row r="14" spans="1:8" x14ac:dyDescent="0.25">
      <c r="A14" s="238" t="s">
        <v>155</v>
      </c>
      <c r="B14" s="270">
        <v>42094</v>
      </c>
      <c r="C14" s="265">
        <v>6580</v>
      </c>
      <c r="D14" s="266">
        <v>153.97</v>
      </c>
      <c r="E14" s="238">
        <v>1825</v>
      </c>
      <c r="F14" s="267">
        <v>38.932607550583654</v>
      </c>
      <c r="G14" s="268">
        <v>115.03739244941634</v>
      </c>
      <c r="H14" s="269">
        <v>4755</v>
      </c>
    </row>
    <row r="15" spans="1:8" x14ac:dyDescent="0.25">
      <c r="A15" s="238" t="s">
        <v>155</v>
      </c>
      <c r="B15" s="270">
        <v>42124</v>
      </c>
      <c r="C15" s="265">
        <v>6601</v>
      </c>
      <c r="D15" s="266">
        <v>146.62</v>
      </c>
      <c r="E15" s="238">
        <v>1824</v>
      </c>
      <c r="F15" s="267">
        <v>42.372708822909502</v>
      </c>
      <c r="G15" s="268">
        <v>104.2472911770905</v>
      </c>
      <c r="H15" s="269">
        <v>4777</v>
      </c>
    </row>
    <row r="19" spans="1:8" ht="30" x14ac:dyDescent="0.25">
      <c r="C19" s="261" t="s">
        <v>149</v>
      </c>
      <c r="D19" s="262" t="s">
        <v>150</v>
      </c>
      <c r="E19" s="263" t="s">
        <v>151</v>
      </c>
      <c r="F19" s="241" t="s">
        <v>152</v>
      </c>
      <c r="G19" s="263" t="s">
        <v>153</v>
      </c>
      <c r="H19" s="263" t="s">
        <v>154</v>
      </c>
    </row>
    <row r="20" spans="1:8" x14ac:dyDescent="0.25">
      <c r="A20" s="238" t="s">
        <v>156</v>
      </c>
      <c r="B20" s="264">
        <v>41790</v>
      </c>
      <c r="C20" s="265">
        <v>22357</v>
      </c>
      <c r="D20" s="266">
        <v>685.61</v>
      </c>
      <c r="E20" s="238">
        <v>2722</v>
      </c>
      <c r="F20" s="267">
        <v>69.466067520111324</v>
      </c>
      <c r="G20" s="268">
        <v>616.14393247988869</v>
      </c>
      <c r="H20" s="269">
        <v>19635</v>
      </c>
    </row>
    <row r="21" spans="1:8" x14ac:dyDescent="0.25">
      <c r="A21" s="238" t="s">
        <v>156</v>
      </c>
      <c r="B21" s="264">
        <v>41820</v>
      </c>
      <c r="C21" s="265">
        <v>22867</v>
      </c>
      <c r="D21" s="266">
        <v>661.93</v>
      </c>
      <c r="E21" s="238">
        <v>2802</v>
      </c>
      <c r="F21" s="267">
        <v>71.748401340744167</v>
      </c>
      <c r="G21" s="268">
        <v>590.18159865925577</v>
      </c>
      <c r="H21" s="269">
        <v>20065</v>
      </c>
    </row>
    <row r="22" spans="1:8" x14ac:dyDescent="0.25">
      <c r="A22" s="238" t="s">
        <v>156</v>
      </c>
      <c r="B22" s="264">
        <v>41851</v>
      </c>
      <c r="C22" s="265">
        <v>22624</v>
      </c>
      <c r="D22" s="266">
        <v>638.39</v>
      </c>
      <c r="E22" s="238">
        <v>2744</v>
      </c>
      <c r="F22" s="267">
        <v>81.313773342279291</v>
      </c>
      <c r="G22" s="268">
        <v>557.07622665772067</v>
      </c>
      <c r="H22" s="269">
        <v>19880</v>
      </c>
    </row>
    <row r="23" spans="1:8" x14ac:dyDescent="0.25">
      <c r="A23" s="238" t="s">
        <v>156</v>
      </c>
      <c r="B23" s="270">
        <v>41882</v>
      </c>
      <c r="C23" s="265">
        <v>22470</v>
      </c>
      <c r="D23" s="266">
        <v>645.47</v>
      </c>
      <c r="E23" s="238">
        <v>2747</v>
      </c>
      <c r="F23" s="267">
        <v>64.841075620713298</v>
      </c>
      <c r="G23" s="268">
        <v>580.62892437928667</v>
      </c>
      <c r="H23" s="269">
        <v>19723</v>
      </c>
    </row>
    <row r="24" spans="1:8" x14ac:dyDescent="0.25">
      <c r="A24" s="238" t="s">
        <v>156</v>
      </c>
      <c r="B24" s="270">
        <v>41912</v>
      </c>
      <c r="C24" s="265">
        <v>22536</v>
      </c>
      <c r="D24" s="266">
        <v>697.78</v>
      </c>
      <c r="E24" s="238">
        <v>2754</v>
      </c>
      <c r="F24" s="267">
        <v>64.114202335985709</v>
      </c>
      <c r="G24" s="268">
        <v>633.66579766401424</v>
      </c>
      <c r="H24" s="269">
        <v>19782</v>
      </c>
    </row>
    <row r="25" spans="1:8" x14ac:dyDescent="0.25">
      <c r="A25" s="238" t="s">
        <v>156</v>
      </c>
      <c r="B25" s="270">
        <v>41943</v>
      </c>
      <c r="C25" s="265">
        <v>22577</v>
      </c>
      <c r="D25" s="266">
        <v>657.53</v>
      </c>
      <c r="E25" s="238">
        <v>2779</v>
      </c>
      <c r="F25" s="267">
        <v>62.336533692297252</v>
      </c>
      <c r="G25" s="268">
        <v>595.19346630770269</v>
      </c>
      <c r="H25" s="269">
        <v>19798</v>
      </c>
    </row>
    <row r="26" spans="1:8" x14ac:dyDescent="0.25">
      <c r="A26" s="238" t="s">
        <v>156</v>
      </c>
      <c r="B26" s="270">
        <v>41973</v>
      </c>
      <c r="C26" s="265">
        <v>22611</v>
      </c>
      <c r="D26" s="266">
        <v>553.03</v>
      </c>
      <c r="E26" s="238">
        <v>2796</v>
      </c>
      <c r="F26" s="267">
        <v>64.000165814342466</v>
      </c>
      <c r="G26" s="268">
        <v>489.02983418565748</v>
      </c>
      <c r="H26" s="269">
        <v>19815</v>
      </c>
    </row>
    <row r="27" spans="1:8" x14ac:dyDescent="0.25">
      <c r="A27" s="238" t="s">
        <v>156</v>
      </c>
      <c r="B27" s="270">
        <v>42004</v>
      </c>
      <c r="C27" s="265">
        <v>22797</v>
      </c>
      <c r="D27" s="266">
        <v>690.5</v>
      </c>
      <c r="E27" s="238">
        <v>2806</v>
      </c>
      <c r="F27" s="267">
        <v>95.629414903393709</v>
      </c>
      <c r="G27" s="268">
        <v>594.87058509660631</v>
      </c>
      <c r="H27" s="269">
        <v>19991</v>
      </c>
    </row>
    <row r="28" spans="1:8" x14ac:dyDescent="0.25">
      <c r="A28" s="238" t="s">
        <v>156</v>
      </c>
      <c r="B28" s="270">
        <v>42035</v>
      </c>
      <c r="C28" s="265">
        <v>22743</v>
      </c>
      <c r="D28" s="266">
        <v>722.99</v>
      </c>
      <c r="E28" s="238">
        <v>2805</v>
      </c>
      <c r="F28" s="267">
        <v>89.303474222557014</v>
      </c>
      <c r="G28" s="268">
        <v>633.68652577744297</v>
      </c>
      <c r="H28" s="269">
        <v>19938</v>
      </c>
    </row>
    <row r="29" spans="1:8" x14ac:dyDescent="0.25">
      <c r="A29" s="238" t="s">
        <v>156</v>
      </c>
      <c r="B29" s="270">
        <v>42063</v>
      </c>
      <c r="C29" s="265">
        <v>22702</v>
      </c>
      <c r="D29" s="266">
        <v>559.04</v>
      </c>
      <c r="E29" s="238">
        <v>2805</v>
      </c>
      <c r="F29" s="267">
        <v>71.737416177552632</v>
      </c>
      <c r="G29" s="268">
        <v>487.30258382244733</v>
      </c>
      <c r="H29" s="269">
        <v>19897</v>
      </c>
    </row>
    <row r="30" spans="1:8" x14ac:dyDescent="0.25">
      <c r="A30" s="238" t="s">
        <v>156</v>
      </c>
      <c r="B30" s="270">
        <v>42094</v>
      </c>
      <c r="C30" s="265">
        <v>22799</v>
      </c>
      <c r="D30" s="266">
        <v>614.23</v>
      </c>
      <c r="E30" s="238">
        <v>2824</v>
      </c>
      <c r="F30" s="267">
        <v>59.969019831363461</v>
      </c>
      <c r="G30" s="268">
        <v>554.26098016863659</v>
      </c>
      <c r="H30" s="269">
        <v>19975</v>
      </c>
    </row>
    <row r="31" spans="1:8" x14ac:dyDescent="0.25">
      <c r="A31" s="238" t="s">
        <v>156</v>
      </c>
      <c r="B31" s="270">
        <v>42124</v>
      </c>
      <c r="C31" s="265">
        <v>22998</v>
      </c>
      <c r="D31" s="266">
        <v>632.6</v>
      </c>
      <c r="E31" s="238">
        <v>2835</v>
      </c>
      <c r="F31" s="267">
        <v>52.349980429707834</v>
      </c>
      <c r="G31" s="268">
        <v>580.25001957029224</v>
      </c>
      <c r="H31" s="269">
        <v>20163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R120"/>
  <sheetViews>
    <sheetView showGridLines="0" zoomScaleNormal="100" workbookViewId="0">
      <selection activeCell="O18" sqref="O18"/>
    </sheetView>
  </sheetViews>
  <sheetFormatPr defaultRowHeight="12.75" x14ac:dyDescent="0.2"/>
  <cols>
    <col min="2" max="2" width="6.5703125" customWidth="1"/>
    <col min="3" max="3" width="8.7109375" bestFit="1" customWidth="1"/>
    <col min="4" max="4" width="9" bestFit="1" customWidth="1"/>
    <col min="5" max="5" width="12" bestFit="1" customWidth="1"/>
    <col min="11" max="12" width="9" bestFit="1" customWidth="1"/>
    <col min="13" max="13" width="8.7109375" bestFit="1" customWidth="1"/>
    <col min="14" max="14" width="3.7109375" style="66" customWidth="1"/>
    <col min="16" max="16" width="14.5703125" bestFit="1" customWidth="1"/>
  </cols>
  <sheetData>
    <row r="1" spans="1:18" x14ac:dyDescent="0.2">
      <c r="A1" s="52" t="str">
        <f>"Commodity Value Timeframe:  "&amp;TEXT(A7,"mmmm")&amp;" - "&amp;TEXT(A18,"mmmm")</f>
        <v>Commodity Value Timeframe:  May - April</v>
      </c>
      <c r="B1" s="53"/>
    </row>
    <row r="2" spans="1:18" x14ac:dyDescent="0.2">
      <c r="A2" s="54" t="str">
        <f>WUTC_KENT_SF!A1</f>
        <v>Kent-Meridian Disposal</v>
      </c>
      <c r="B2" s="54"/>
    </row>
    <row r="3" spans="1:18" x14ac:dyDescent="0.2">
      <c r="A3" s="54"/>
      <c r="B3" s="54"/>
    </row>
    <row r="4" spans="1:18" x14ac:dyDescent="0.2">
      <c r="B4" s="64"/>
      <c r="C4" s="56" t="s">
        <v>21</v>
      </c>
      <c r="D4" s="56" t="s">
        <v>22</v>
      </c>
      <c r="E4" s="56" t="s">
        <v>55</v>
      </c>
      <c r="F4" s="56" t="s">
        <v>23</v>
      </c>
      <c r="G4" s="56" t="s">
        <v>24</v>
      </c>
      <c r="H4" s="56" t="s">
        <v>25</v>
      </c>
      <c r="I4" s="56" t="s">
        <v>26</v>
      </c>
      <c r="J4" s="56" t="s">
        <v>27</v>
      </c>
      <c r="K4" s="56" t="s">
        <v>28</v>
      </c>
      <c r="L4" s="56" t="s">
        <v>29</v>
      </c>
      <c r="M4" s="56" t="s">
        <v>30</v>
      </c>
      <c r="N4"/>
      <c r="O4" s="67"/>
    </row>
    <row r="5" spans="1:18" x14ac:dyDescent="0.2">
      <c r="B5" s="64"/>
      <c r="C5" s="64"/>
      <c r="D5" s="64"/>
      <c r="E5" s="64"/>
      <c r="F5" s="64"/>
      <c r="G5" s="64"/>
      <c r="H5" s="64"/>
      <c r="I5" s="64"/>
      <c r="J5" s="64"/>
      <c r="K5" s="64"/>
      <c r="L5" s="64"/>
      <c r="M5" s="64"/>
      <c r="N5"/>
      <c r="O5" s="67" t="str">
        <f>+TEXT(P20,"00.0%")&amp;" of"</f>
        <v>50.0% of</v>
      </c>
    </row>
    <row r="6" spans="1:18" x14ac:dyDescent="0.2">
      <c r="B6" s="64"/>
      <c r="C6" s="64"/>
      <c r="D6" s="64"/>
      <c r="E6" s="64"/>
      <c r="F6" s="64"/>
      <c r="G6" s="64"/>
      <c r="H6" s="64"/>
      <c r="I6" s="64"/>
      <c r="J6" s="64"/>
      <c r="K6" s="64"/>
      <c r="L6" s="64"/>
      <c r="M6" s="64"/>
      <c r="N6"/>
      <c r="O6" s="67" t="s">
        <v>30</v>
      </c>
      <c r="P6" s="56" t="s">
        <v>68</v>
      </c>
      <c r="Q6" s="140" t="s">
        <v>76</v>
      </c>
    </row>
    <row r="7" spans="1:18" x14ac:dyDescent="0.2">
      <c r="A7" s="59">
        <f>+'SF Pricing'!A7</f>
        <v>41760</v>
      </c>
      <c r="B7" s="64"/>
      <c r="C7" s="69">
        <f>'SF Commodity Tonnages'!C7*'SF Pricing'!C7</f>
        <v>4981.5699048948354</v>
      </c>
      <c r="D7" s="69">
        <f>'SF Commodity Tonnages'!D7*'SF Pricing'!D7</f>
        <v>-1653.6218734439049</v>
      </c>
      <c r="E7" s="69">
        <f>'SF Commodity Tonnages'!E7*'SF Pricing'!E7</f>
        <v>0</v>
      </c>
      <c r="F7" s="69">
        <f>'SF Commodity Tonnages'!F7*'SF Pricing'!F7</f>
        <v>815.24160210177752</v>
      </c>
      <c r="G7" s="69">
        <f>'SF Commodity Tonnages'!G7*'SF Pricing'!G7</f>
        <v>9023.1198192017291</v>
      </c>
      <c r="H7" s="69">
        <f>'SF Commodity Tonnages'!H7*'SF Pricing'!H7</f>
        <v>13893.137481265005</v>
      </c>
      <c r="I7" s="69">
        <f>'SF Commodity Tonnages'!I7*'SF Pricing'!I7</f>
        <v>2615.712755837209</v>
      </c>
      <c r="J7" s="69">
        <f>'SF Commodity Tonnages'!J7*'SF Pricing'!J7</f>
        <v>2615.712755837209</v>
      </c>
      <c r="K7" s="69">
        <f>'SF Commodity Tonnages'!K7*'SF Pricing'!K7</f>
        <v>10928.080357870696</v>
      </c>
      <c r="L7" s="69">
        <f>'SF Commodity Tonnages'!L7*'SF Pricing'!L7</f>
        <v>-4390.6915705102274</v>
      </c>
      <c r="M7" s="65">
        <f t="shared" ref="M7:M18" si="0">SUM(C7:L7)</f>
        <v>38828.261233054327</v>
      </c>
      <c r="N7"/>
      <c r="O7" s="139">
        <f>M7-Q7</f>
        <v>19419.089223018393</v>
      </c>
      <c r="P7" s="112">
        <f>IFERROR(O7/M7,0)</f>
        <v>0.50012770611749691</v>
      </c>
      <c r="Q7" s="129">
        <v>19409.172010035934</v>
      </c>
      <c r="R7" s="68"/>
    </row>
    <row r="8" spans="1:18" x14ac:dyDescent="0.2">
      <c r="A8" s="59">
        <f>+'SF Pricing'!A8</f>
        <v>41820</v>
      </c>
      <c r="B8" s="64"/>
      <c r="C8" s="69">
        <f>'SF Commodity Tonnages'!C8*'SF Pricing'!C8</f>
        <v>4642.0143460945101</v>
      </c>
      <c r="D8" s="69">
        <f>'SF Commodity Tonnages'!D8*'SF Pricing'!D8</f>
        <v>-728.32186436783593</v>
      </c>
      <c r="E8" s="69">
        <f>'SF Commodity Tonnages'!E8*'SF Pricing'!E8</f>
        <v>0</v>
      </c>
      <c r="F8" s="69">
        <f>'SF Commodity Tonnages'!F8*'SF Pricing'!F8</f>
        <v>722.46195127474812</v>
      </c>
      <c r="G8" s="69">
        <f>'SF Commodity Tonnages'!G8*'SF Pricing'!G8</f>
        <v>8499.057656892277</v>
      </c>
      <c r="H8" s="69">
        <f>'SF Commodity Tonnages'!H8*'SF Pricing'!H8</f>
        <v>12982.961172342768</v>
      </c>
      <c r="I8" s="69">
        <f>'SF Commodity Tonnages'!I8*'SF Pricing'!I8</f>
        <v>2525.5018509838951</v>
      </c>
      <c r="J8" s="69">
        <f>'SF Commodity Tonnages'!J8*'SF Pricing'!J8</f>
        <v>2525.5018509838951</v>
      </c>
      <c r="K8" s="69">
        <f>'SF Commodity Tonnages'!K8*'SF Pricing'!K8</f>
        <v>10059.545018275243</v>
      </c>
      <c r="L8" s="69">
        <f>'SF Commodity Tonnages'!L8*'SF Pricing'!L8</f>
        <v>-4205.6818767553577</v>
      </c>
      <c r="M8" s="65">
        <f t="shared" si="0"/>
        <v>37023.040105724147</v>
      </c>
      <c r="N8"/>
      <c r="O8" s="139">
        <f t="shared" ref="O8:O18" si="1">M8-Q8</f>
        <v>18517.260486211668</v>
      </c>
      <c r="P8" s="112">
        <f t="shared" ref="P8:P18" si="2">IFERROR(O8/M8,0)</f>
        <v>0.50015505029660456</v>
      </c>
      <c r="Q8" s="129">
        <v>18505.779619512479</v>
      </c>
      <c r="R8" s="68"/>
    </row>
    <row r="9" spans="1:18" x14ac:dyDescent="0.2">
      <c r="A9" s="59">
        <f>+'SF Pricing'!A9</f>
        <v>41851</v>
      </c>
      <c r="B9" s="60"/>
      <c r="C9" s="69">
        <f>'SF Commodity Tonnages'!C9*'SF Pricing'!C9</f>
        <v>4522.9297380453663</v>
      </c>
      <c r="D9" s="69">
        <f>'SF Commodity Tonnages'!D9*'SF Pricing'!D9</f>
        <v>-748.53218423544615</v>
      </c>
      <c r="E9" s="69">
        <f>'SF Commodity Tonnages'!E9*'SF Pricing'!E9</f>
        <v>0</v>
      </c>
      <c r="F9" s="69">
        <f>'SF Commodity Tonnages'!F9*'SF Pricing'!F9</f>
        <v>677.89213331411383</v>
      </c>
      <c r="G9" s="69">
        <f>'SF Commodity Tonnages'!G9*'SF Pricing'!G9</f>
        <v>8087.4933895601243</v>
      </c>
      <c r="H9" s="69">
        <f>'SF Commodity Tonnages'!H9*'SF Pricing'!H9</f>
        <v>12265.457016705055</v>
      </c>
      <c r="I9" s="69">
        <f>'SF Commodity Tonnages'!I9*'SF Pricing'!I9</f>
        <v>2673.985107086879</v>
      </c>
      <c r="J9" s="69">
        <f>'SF Commodity Tonnages'!J9*'SF Pricing'!J9</f>
        <v>2673.985107086879</v>
      </c>
      <c r="K9" s="69">
        <f>'SF Commodity Tonnages'!K9*'SF Pricing'!K9</f>
        <v>10089.902772128848</v>
      </c>
      <c r="L9" s="69">
        <f>'SF Commodity Tonnages'!L9*'SF Pricing'!L9</f>
        <v>-3969.7703143372855</v>
      </c>
      <c r="M9" s="65">
        <f t="shared" si="0"/>
        <v>36273.34276535453</v>
      </c>
      <c r="N9" s="65"/>
      <c r="O9" s="139">
        <f t="shared" si="1"/>
        <v>18142.885622766466</v>
      </c>
      <c r="P9" s="112">
        <f t="shared" si="2"/>
        <v>0.50017131699522155</v>
      </c>
      <c r="Q9" s="129">
        <v>18130.457142588064</v>
      </c>
      <c r="R9" s="68"/>
    </row>
    <row r="10" spans="1:18" x14ac:dyDescent="0.2">
      <c r="A10" s="59">
        <f>+'SF Pricing'!A10</f>
        <v>41882</v>
      </c>
      <c r="B10" s="60"/>
      <c r="C10" s="69">
        <f>'SF Commodity Tonnages'!C10*'SF Pricing'!C10</f>
        <v>4956.4952657944523</v>
      </c>
      <c r="D10" s="69">
        <f>'SF Commodity Tonnages'!D10*'SF Pricing'!D10</f>
        <v>-894.12673826154628</v>
      </c>
      <c r="E10" s="69">
        <f>'SF Commodity Tonnages'!E10*'SF Pricing'!E10</f>
        <v>0</v>
      </c>
      <c r="F10" s="69">
        <f>'SF Commodity Tonnages'!F10*'SF Pricing'!F10</f>
        <v>701.85843750043807</v>
      </c>
      <c r="G10" s="69">
        <f>'SF Commodity Tonnages'!G10*'SF Pricing'!G10</f>
        <v>8344.5085867169182</v>
      </c>
      <c r="H10" s="69">
        <f>'SF Commodity Tonnages'!H10*'SF Pricing'!H10</f>
        <v>12709.291302594602</v>
      </c>
      <c r="I10" s="69">
        <f>'SF Commodity Tonnages'!I10*'SF Pricing'!I10</f>
        <v>2820.4087742603938</v>
      </c>
      <c r="J10" s="69">
        <f>'SF Commodity Tonnages'!J10*'SF Pricing'!J10</f>
        <v>2820.4087742603938</v>
      </c>
      <c r="K10" s="69">
        <f>'SF Commodity Tonnages'!K10*'SF Pricing'!K10</f>
        <v>10242.304677371254</v>
      </c>
      <c r="L10" s="69">
        <f>'SF Commodity Tonnages'!L10*'SF Pricing'!L10</f>
        <v>-4137.6087460696808</v>
      </c>
      <c r="M10" s="65">
        <f t="shared" si="0"/>
        <v>37563.540334167228</v>
      </c>
      <c r="N10" s="65"/>
      <c r="O10" s="139">
        <f t="shared" si="1"/>
        <v>18783.0977751192</v>
      </c>
      <c r="P10" s="112">
        <f t="shared" si="2"/>
        <v>0.50003534299546248</v>
      </c>
      <c r="Q10" s="129">
        <v>18780.442559048028</v>
      </c>
      <c r="R10" s="68"/>
    </row>
    <row r="11" spans="1:18" x14ac:dyDescent="0.2">
      <c r="A11" s="59">
        <f>+'SF Pricing'!A11</f>
        <v>41912</v>
      </c>
      <c r="B11" s="60"/>
      <c r="C11" s="69">
        <f>'SF Commodity Tonnages'!C11*'SF Pricing'!C11</f>
        <v>5469.4356392731252</v>
      </c>
      <c r="D11" s="69">
        <f>'SF Commodity Tonnages'!D11*'SF Pricing'!D11</f>
        <v>291.28349387019409</v>
      </c>
      <c r="E11" s="69">
        <f>'SF Commodity Tonnages'!E11*'SF Pricing'!E11</f>
        <v>0</v>
      </c>
      <c r="F11" s="69">
        <f>'SF Commodity Tonnages'!F11*'SF Pricing'!F11</f>
        <v>801.99848314766189</v>
      </c>
      <c r="G11" s="69">
        <f>'SF Commodity Tonnages'!G11*'SF Pricing'!G11</f>
        <v>8279.3379058025221</v>
      </c>
      <c r="H11" s="69">
        <f>'SF Commodity Tonnages'!H11*'SF Pricing'!H11</f>
        <v>12808.020501814535</v>
      </c>
      <c r="I11" s="69">
        <f>'SF Commodity Tonnages'!I11*'SF Pricing'!I11</f>
        <v>3388.1296574210642</v>
      </c>
      <c r="J11" s="69">
        <f>'SF Commodity Tonnages'!J11*'SF Pricing'!J11</f>
        <v>3388.1296574210642</v>
      </c>
      <c r="K11" s="69">
        <f>'SF Commodity Tonnages'!K11*'SF Pricing'!K11</f>
        <v>10329.400868767601</v>
      </c>
      <c r="L11" s="69">
        <f>'SF Commodity Tonnages'!L11*'SF Pricing'!L11</f>
        <v>-4515.5538010833861</v>
      </c>
      <c r="M11" s="65">
        <f t="shared" si="0"/>
        <v>40240.182406434389</v>
      </c>
      <c r="N11" s="65"/>
      <c r="O11" s="139">
        <f t="shared" si="1"/>
        <v>20121.293330601937</v>
      </c>
      <c r="P11" s="112">
        <f t="shared" si="2"/>
        <v>0.50002987380555586</v>
      </c>
      <c r="Q11" s="129">
        <v>20118.889075832452</v>
      </c>
      <c r="R11" s="68"/>
    </row>
    <row r="12" spans="1:18" x14ac:dyDescent="0.2">
      <c r="A12" s="59">
        <f>+'SF Pricing'!A12</f>
        <v>41943</v>
      </c>
      <c r="B12" s="60"/>
      <c r="C12" s="69">
        <f>'SF Commodity Tonnages'!C12*'SF Pricing'!C12</f>
        <v>5019.6548651096227</v>
      </c>
      <c r="D12" s="69">
        <f>'SF Commodity Tonnages'!D12*'SF Pricing'!D12</f>
        <v>104.59882361414262</v>
      </c>
      <c r="E12" s="69">
        <f>'SF Commodity Tonnages'!E12*'SF Pricing'!E12</f>
        <v>0</v>
      </c>
      <c r="F12" s="69">
        <f>'SF Commodity Tonnages'!F12*'SF Pricing'!F12</f>
        <v>608.39188142307603</v>
      </c>
      <c r="G12" s="69">
        <f>'SF Commodity Tonnages'!G12*'SF Pricing'!G12</f>
        <v>7944.8417780864293</v>
      </c>
      <c r="H12" s="69">
        <f>'SF Commodity Tonnages'!H12*'SF Pricing'!H12</f>
        <v>11629.51632632383</v>
      </c>
      <c r="I12" s="69">
        <f>'SF Commodity Tonnages'!I12*'SF Pricing'!I12</f>
        <v>3074.9517249446485</v>
      </c>
      <c r="J12" s="69">
        <f>'SF Commodity Tonnages'!J12*'SF Pricing'!J12</f>
        <v>3074.9517249446485</v>
      </c>
      <c r="K12" s="69">
        <f>'SF Commodity Tonnages'!K12*'SF Pricing'!K12</f>
        <v>10111.349328529877</v>
      </c>
      <c r="L12" s="69">
        <f>'SF Commodity Tonnages'!L12*'SF Pricing'!L12</f>
        <v>-4241.3968515794704</v>
      </c>
      <c r="M12" s="65">
        <f t="shared" si="0"/>
        <v>37326.859601396805</v>
      </c>
      <c r="N12" s="65"/>
      <c r="O12" s="139">
        <f t="shared" si="1"/>
        <v>18664.568465318785</v>
      </c>
      <c r="P12" s="112">
        <f t="shared" si="2"/>
        <v>0.50003050523490433</v>
      </c>
      <c r="Q12" s="129">
        <v>18662.29113607802</v>
      </c>
      <c r="R12" s="68"/>
    </row>
    <row r="13" spans="1:18" x14ac:dyDescent="0.2">
      <c r="A13" s="59">
        <f>+'SF Pricing'!A13</f>
        <v>41973</v>
      </c>
      <c r="B13" s="60"/>
      <c r="C13" s="69">
        <f>'SF Commodity Tonnages'!C13*'SF Pricing'!C13</f>
        <v>4518.6356678754746</v>
      </c>
      <c r="D13" s="69">
        <f>'SF Commodity Tonnages'!D13*'SF Pricing'!D13</f>
        <v>-255.4042422166076</v>
      </c>
      <c r="E13" s="69">
        <f>'SF Commodity Tonnages'!E13*'SF Pricing'!E13</f>
        <v>0</v>
      </c>
      <c r="F13" s="69">
        <f>'SF Commodity Tonnages'!F13*'SF Pricing'!F13</f>
        <v>426.50272410159641</v>
      </c>
      <c r="G13" s="69">
        <f>'SF Commodity Tonnages'!G13*'SF Pricing'!G13</f>
        <v>6079.8242911264515</v>
      </c>
      <c r="H13" s="69">
        <f>'SF Commodity Tonnages'!H13*'SF Pricing'!H13</f>
        <v>8871.093031930679</v>
      </c>
      <c r="I13" s="69">
        <f>'SF Commodity Tonnages'!I13*'SF Pricing'!I13</f>
        <v>2298.69141084692</v>
      </c>
      <c r="J13" s="69">
        <f>'SF Commodity Tonnages'!J13*'SF Pricing'!J13</f>
        <v>2298.69141084692</v>
      </c>
      <c r="K13" s="69">
        <f>'SF Commodity Tonnages'!K13*'SF Pricing'!K13</f>
        <v>8113.2103416704149</v>
      </c>
      <c r="L13" s="69">
        <f>'SF Commodity Tonnages'!L13*'SF Pricing'!L13</f>
        <v>-3484.8662098235718</v>
      </c>
      <c r="M13" s="65">
        <f t="shared" si="0"/>
        <v>28866.378426358278</v>
      </c>
      <c r="N13" s="65"/>
      <c r="O13" s="139">
        <f t="shared" si="1"/>
        <v>14432.662870368598</v>
      </c>
      <c r="P13" s="112">
        <f t="shared" si="2"/>
        <v>0.4999817662332709</v>
      </c>
      <c r="Q13" s="129">
        <v>14433.71555598968</v>
      </c>
      <c r="R13" s="68"/>
    </row>
    <row r="14" spans="1:18" x14ac:dyDescent="0.2">
      <c r="A14" s="59">
        <f>+'SF Pricing'!A14</f>
        <v>42004</v>
      </c>
      <c r="B14" s="60"/>
      <c r="C14" s="69">
        <f>'SF Commodity Tonnages'!C14*'SF Pricing'!C14</f>
        <v>5309.2199719872115</v>
      </c>
      <c r="D14" s="69">
        <f>'SF Commodity Tonnages'!D14*'SF Pricing'!D14</f>
        <v>-501.3602603946963</v>
      </c>
      <c r="E14" s="69">
        <f>'SF Commodity Tonnages'!E14*'SF Pricing'!E14</f>
        <v>0</v>
      </c>
      <c r="F14" s="69">
        <f>'SF Commodity Tonnages'!F14*'SF Pricing'!F14</f>
        <v>523.13930533390214</v>
      </c>
      <c r="G14" s="69">
        <f>'SF Commodity Tonnages'!G14*'SF Pricing'!G14</f>
        <v>7050.5816613875813</v>
      </c>
      <c r="H14" s="69">
        <f>'SF Commodity Tonnages'!H14*'SF Pricing'!H14</f>
        <v>10283.202053432629</v>
      </c>
      <c r="I14" s="69">
        <f>'SF Commodity Tonnages'!I14*'SF Pricing'!I14</f>
        <v>2291.2906940988055</v>
      </c>
      <c r="J14" s="69">
        <f>'SF Commodity Tonnages'!J14*'SF Pricing'!J14</f>
        <v>2291.2906940988055</v>
      </c>
      <c r="K14" s="69">
        <f>'SF Commodity Tonnages'!K14*'SF Pricing'!K14</f>
        <v>9397.2144152461533</v>
      </c>
      <c r="L14" s="69">
        <f>'SF Commodity Tonnages'!L14*'SF Pricing'!L14</f>
        <v>-4239.0959739158188</v>
      </c>
      <c r="M14" s="65">
        <f t="shared" si="0"/>
        <v>32405.482561274577</v>
      </c>
      <c r="N14" s="65"/>
      <c r="O14" s="139">
        <f t="shared" si="1"/>
        <v>16204.182176168504</v>
      </c>
      <c r="P14" s="112">
        <f t="shared" si="2"/>
        <v>0.50004446456023266</v>
      </c>
      <c r="Q14" s="129">
        <v>16201.300385106073</v>
      </c>
      <c r="R14" s="68"/>
    </row>
    <row r="15" spans="1:18" x14ac:dyDescent="0.2">
      <c r="A15" s="59">
        <f>+'SF Pricing'!A15</f>
        <v>42035</v>
      </c>
      <c r="B15" s="60"/>
      <c r="C15" s="69">
        <f>'SF Commodity Tonnages'!C15*'SF Pricing'!C15</f>
        <v>5256.4297313238894</v>
      </c>
      <c r="D15" s="69">
        <f>'SF Commodity Tonnages'!D15*'SF Pricing'!D15</f>
        <v>-440.74874969781587</v>
      </c>
      <c r="E15" s="69">
        <f>'SF Commodity Tonnages'!E15*'SF Pricing'!E15</f>
        <v>0</v>
      </c>
      <c r="F15" s="69">
        <f>'SF Commodity Tonnages'!F15*'SF Pricing'!F15</f>
        <v>554.42026248425702</v>
      </c>
      <c r="G15" s="69">
        <f>'SF Commodity Tonnages'!G15*'SF Pricing'!G15</f>
        <v>7303.0439351946679</v>
      </c>
      <c r="H15" s="69">
        <f>'SF Commodity Tonnages'!H15*'SF Pricing'!H15</f>
        <v>10859.980774687363</v>
      </c>
      <c r="I15" s="69">
        <f>'SF Commodity Tonnages'!I15*'SF Pricing'!I15</f>
        <v>1856.4418991582966</v>
      </c>
      <c r="J15" s="69">
        <f>'SF Commodity Tonnages'!J15*'SF Pricing'!J15</f>
        <v>1856.4418991582966</v>
      </c>
      <c r="K15" s="69">
        <f>'SF Commodity Tonnages'!K15*'SF Pricing'!K15</f>
        <v>9671.2851015372617</v>
      </c>
      <c r="L15" s="69">
        <f>'SF Commodity Tonnages'!L15*'SF Pricing'!L15</f>
        <v>-4515.7015112986564</v>
      </c>
      <c r="M15" s="65">
        <f t="shared" si="0"/>
        <v>32401.593342547567</v>
      </c>
      <c r="N15" s="65"/>
      <c r="O15" s="139">
        <f t="shared" si="1"/>
        <v>16201.397311047236</v>
      </c>
      <c r="P15" s="112">
        <f t="shared" si="2"/>
        <v>0.50001853735299695</v>
      </c>
      <c r="Q15" s="129">
        <v>16200.196031500331</v>
      </c>
      <c r="R15" s="68"/>
    </row>
    <row r="16" spans="1:18" x14ac:dyDescent="0.2">
      <c r="A16" s="59">
        <f>+'SF Pricing'!A16</f>
        <v>42063</v>
      </c>
      <c r="B16" s="60"/>
      <c r="C16" s="69">
        <f>'SF Commodity Tonnages'!C16*'SF Pricing'!C16</f>
        <v>4003.4672703177234</v>
      </c>
      <c r="D16" s="69">
        <f>'SF Commodity Tonnages'!D16*'SF Pricing'!D16</f>
        <v>-785.21755241573635</v>
      </c>
      <c r="E16" s="69">
        <f>'SF Commodity Tonnages'!E16*'SF Pricing'!E16</f>
        <v>0</v>
      </c>
      <c r="F16" s="69">
        <f>'SF Commodity Tonnages'!F16*'SF Pricing'!F16</f>
        <v>314.34305948988651</v>
      </c>
      <c r="G16" s="69">
        <f>'SF Commodity Tonnages'!G16*'SF Pricing'!G16</f>
        <v>5560.8047050314744</v>
      </c>
      <c r="H16" s="69">
        <f>'SF Commodity Tonnages'!H16*'SF Pricing'!H16</f>
        <v>8149.3084695641292</v>
      </c>
      <c r="I16" s="69">
        <f>'SF Commodity Tonnages'!I16*'SF Pricing'!I16</f>
        <v>1140.3468392012649</v>
      </c>
      <c r="J16" s="69">
        <f>'SF Commodity Tonnages'!J16*'SF Pricing'!J16</f>
        <v>1140.3468392012649</v>
      </c>
      <c r="K16" s="69">
        <f>'SF Commodity Tonnages'!K16*'SF Pricing'!K16</f>
        <v>6377.680162186788</v>
      </c>
      <c r="L16" s="69">
        <f>'SF Commodity Tonnages'!L16*'SF Pricing'!L16</f>
        <v>-3472.5576838280567</v>
      </c>
      <c r="M16" s="65">
        <f t="shared" si="0"/>
        <v>22428.522108748741</v>
      </c>
      <c r="N16" s="65"/>
      <c r="O16" s="139">
        <f t="shared" si="1"/>
        <v>11213.253142075115</v>
      </c>
      <c r="P16" s="112">
        <f t="shared" si="2"/>
        <v>0.49995506113624572</v>
      </c>
      <c r="Q16" s="129">
        <v>11215.268966673626</v>
      </c>
      <c r="R16" s="68"/>
    </row>
    <row r="17" spans="1:18" x14ac:dyDescent="0.2">
      <c r="A17" s="59">
        <f>+'SF Pricing'!A17</f>
        <v>42094</v>
      </c>
      <c r="B17" s="60"/>
      <c r="C17" s="69">
        <f>'SF Commodity Tonnages'!C17*'SF Pricing'!C17</f>
        <v>4328.1990523927752</v>
      </c>
      <c r="D17" s="69">
        <f>'SF Commodity Tonnages'!D17*'SF Pricing'!D17</f>
        <v>-508.97741468007484</v>
      </c>
      <c r="E17" s="69">
        <f>'SF Commodity Tonnages'!E17*'SF Pricing'!E17</f>
        <v>0</v>
      </c>
      <c r="F17" s="69">
        <f>'SF Commodity Tonnages'!F17*'SF Pricing'!F17</f>
        <v>363.55335628662289</v>
      </c>
      <c r="G17" s="69">
        <f>'SF Commodity Tonnages'!G17*'SF Pricing'!G17</f>
        <v>6476.2069966824165</v>
      </c>
      <c r="H17" s="69">
        <f>'SF Commodity Tonnages'!H17*'SF Pricing'!H17</f>
        <v>10000.711554262238</v>
      </c>
      <c r="I17" s="69">
        <f>'SF Commodity Tonnages'!I17*'SF Pricing'!I17</f>
        <v>1484.0458018647942</v>
      </c>
      <c r="J17" s="69">
        <f>'SF Commodity Tonnages'!J17*'SF Pricing'!J17</f>
        <v>1484.0458018647942</v>
      </c>
      <c r="K17" s="69">
        <f>'SF Commodity Tonnages'!K17*'SF Pricing'!K17</f>
        <v>7086.006368142499</v>
      </c>
      <c r="L17" s="69">
        <f>'SF Commodity Tonnages'!L17*'SF Pricing'!L17</f>
        <v>-3949.7086398211063</v>
      </c>
      <c r="M17" s="65">
        <f t="shared" si="0"/>
        <v>26764.082876994958</v>
      </c>
      <c r="N17" s="65"/>
      <c r="O17" s="139">
        <f t="shared" si="1"/>
        <v>13381.451510823228</v>
      </c>
      <c r="P17" s="112">
        <f t="shared" si="2"/>
        <v>0.49997795823316787</v>
      </c>
      <c r="Q17" s="129">
        <v>13382.63136617173</v>
      </c>
      <c r="R17" s="68"/>
    </row>
    <row r="18" spans="1:18" x14ac:dyDescent="0.2">
      <c r="A18" s="59">
        <f>+'SF Pricing'!A18</f>
        <v>42124</v>
      </c>
      <c r="B18" s="60"/>
      <c r="C18" s="69">
        <f>'SF Commodity Tonnages'!C18*'SF Pricing'!C18</f>
        <v>4222.7680667977529</v>
      </c>
      <c r="D18" s="69">
        <f>'SF Commodity Tonnages'!D18*'SF Pricing'!D18</f>
        <v>-1429.0536741981855</v>
      </c>
      <c r="E18" s="69">
        <f>'SF Commodity Tonnages'!E18*'SF Pricing'!E18</f>
        <v>0</v>
      </c>
      <c r="F18" s="69">
        <f>'SF Commodity Tonnages'!F18*'SF Pricing'!F18</f>
        <v>375.97590143066867</v>
      </c>
      <c r="G18" s="69">
        <f>'SF Commodity Tonnages'!G18*'SF Pricing'!G18</f>
        <v>6934.3213776262446</v>
      </c>
      <c r="H18" s="69">
        <f>'SF Commodity Tonnages'!H18*'SF Pricing'!H18</f>
        <v>10469.640264613156</v>
      </c>
      <c r="I18" s="69">
        <f>'SF Commodity Tonnages'!I18*'SF Pricing'!I18</f>
        <v>1864.850828558966</v>
      </c>
      <c r="J18" s="69">
        <f>'SF Commodity Tonnages'!J18*'SF Pricing'!J18</f>
        <v>1864.850828558966</v>
      </c>
      <c r="K18" s="69">
        <f>'SF Commodity Tonnages'!K18*'SF Pricing'!K18</f>
        <v>8276.697303901019</v>
      </c>
      <c r="L18" s="69">
        <f>'SF Commodity Tonnages'!L18*'SF Pricing'!L18</f>
        <v>-4134.908639709497</v>
      </c>
      <c r="M18" s="65">
        <f t="shared" si="0"/>
        <v>28445.142257579089</v>
      </c>
      <c r="N18" s="65"/>
      <c r="O18" s="139">
        <f t="shared" si="1"/>
        <v>14223.214277911226</v>
      </c>
      <c r="P18" s="112">
        <f t="shared" si="2"/>
        <v>0.50002261015662564</v>
      </c>
      <c r="Q18" s="129">
        <v>14221.927979667864</v>
      </c>
      <c r="R18" s="68"/>
    </row>
    <row r="19" spans="1:18" ht="6.75" customHeight="1" x14ac:dyDescent="0.2">
      <c r="A19" s="60"/>
      <c r="B19" s="60"/>
      <c r="C19" s="69"/>
      <c r="D19" s="69"/>
      <c r="E19" s="69"/>
      <c r="F19" s="69"/>
      <c r="G19" s="69"/>
      <c r="H19" s="69"/>
      <c r="I19" s="69"/>
      <c r="J19" s="69"/>
      <c r="K19" s="69"/>
      <c r="L19" s="69"/>
      <c r="M19" s="65"/>
      <c r="N19"/>
      <c r="O19" s="65"/>
    </row>
    <row r="20" spans="1:18" x14ac:dyDescent="0.2">
      <c r="A20" s="63" t="s">
        <v>33</v>
      </c>
      <c r="B20" s="60"/>
      <c r="C20" s="76">
        <f t="shared" ref="C20:L20" si="3">SUM(C7:C19)</f>
        <v>57230.819519906749</v>
      </c>
      <c r="D20" s="76">
        <f t="shared" si="3"/>
        <v>-7549.4822364275133</v>
      </c>
      <c r="E20" s="76">
        <f t="shared" si="3"/>
        <v>0</v>
      </c>
      <c r="F20" s="76">
        <f t="shared" si="3"/>
        <v>6885.7790978887488</v>
      </c>
      <c r="G20" s="76">
        <f t="shared" si="3"/>
        <v>89583.142103308841</v>
      </c>
      <c r="H20" s="76">
        <f t="shared" si="3"/>
        <v>134922.31994953597</v>
      </c>
      <c r="I20" s="76">
        <f t="shared" si="3"/>
        <v>28034.357344263142</v>
      </c>
      <c r="J20" s="76">
        <f t="shared" si="3"/>
        <v>28034.357344263142</v>
      </c>
      <c r="K20" s="76">
        <f t="shared" si="3"/>
        <v>110682.67671562765</v>
      </c>
      <c r="L20" s="76">
        <f t="shared" si="3"/>
        <v>-49257.541818732105</v>
      </c>
      <c r="M20" s="75">
        <f>SUM(C20:L20)</f>
        <v>398566.42801963462</v>
      </c>
      <c r="N20" s="61"/>
      <c r="O20" s="75">
        <f>SUM(O7:O19)</f>
        <v>199304.35619143039</v>
      </c>
      <c r="P20" s="113">
        <f>+O20/M20</f>
        <v>0.50005304556562413</v>
      </c>
    </row>
    <row r="21" spans="1:18" x14ac:dyDescent="0.2">
      <c r="A21" s="60"/>
      <c r="B21" s="60"/>
      <c r="C21" s="65"/>
      <c r="D21" s="65"/>
      <c r="E21" s="65"/>
      <c r="F21" s="65"/>
      <c r="G21" s="65"/>
      <c r="H21" s="65"/>
      <c r="I21" s="65"/>
      <c r="J21" s="65"/>
      <c r="K21" s="65"/>
      <c r="L21" s="65"/>
      <c r="M21" s="65"/>
      <c r="N21"/>
      <c r="O21" s="66"/>
    </row>
    <row r="22" spans="1:18" x14ac:dyDescent="0.2">
      <c r="A22" s="60"/>
      <c r="B22" s="60"/>
      <c r="C22" s="60"/>
      <c r="D22" s="60"/>
      <c r="E22" s="60"/>
      <c r="F22" s="60"/>
      <c r="G22" s="60"/>
      <c r="H22" s="60"/>
      <c r="I22" s="60"/>
      <c r="J22" s="60"/>
      <c r="K22" s="60"/>
      <c r="L22" s="60"/>
      <c r="M22" s="61"/>
      <c r="N22"/>
      <c r="O22" s="66"/>
    </row>
    <row r="23" spans="1:18" x14ac:dyDescent="0.2">
      <c r="A23" s="60"/>
      <c r="B23" s="60"/>
      <c r="C23" s="60"/>
      <c r="D23" s="60"/>
      <c r="E23" s="60"/>
      <c r="F23" s="60"/>
      <c r="G23" s="60"/>
      <c r="H23" s="60"/>
      <c r="I23" s="60"/>
      <c r="J23" s="60"/>
      <c r="K23" s="60"/>
    </row>
    <row r="24" spans="1:18" x14ac:dyDescent="0.2">
      <c r="A24" s="60"/>
      <c r="B24" s="60"/>
      <c r="C24" s="60"/>
      <c r="D24" s="60"/>
      <c r="E24" s="60"/>
      <c r="F24" s="60"/>
      <c r="G24" s="60"/>
      <c r="H24" s="60"/>
      <c r="I24" s="60"/>
      <c r="J24" s="60"/>
      <c r="K24" s="60"/>
    </row>
    <row r="25" spans="1:18" x14ac:dyDescent="0.2">
      <c r="A25" s="60"/>
      <c r="B25" s="60"/>
      <c r="C25" s="60"/>
      <c r="D25" s="60"/>
      <c r="E25" s="60"/>
      <c r="F25" s="60"/>
      <c r="G25" s="60"/>
      <c r="H25" s="60"/>
      <c r="I25" s="60"/>
      <c r="J25" s="60"/>
      <c r="K25" s="60"/>
    </row>
    <row r="26" spans="1:18" x14ac:dyDescent="0.2">
      <c r="A26" s="60"/>
      <c r="B26" s="60"/>
      <c r="C26" s="60"/>
      <c r="D26" s="60"/>
      <c r="E26" s="60"/>
      <c r="F26" s="60"/>
      <c r="G26" s="60"/>
      <c r="H26" s="60"/>
      <c r="I26" s="60"/>
      <c r="J26" s="60"/>
      <c r="K26" s="60"/>
    </row>
    <row r="27" spans="1:18" x14ac:dyDescent="0.2">
      <c r="A27" s="60"/>
      <c r="B27" s="60"/>
      <c r="C27" s="60"/>
      <c r="D27" s="60"/>
      <c r="E27" s="60"/>
      <c r="F27" s="60"/>
      <c r="G27" s="60"/>
      <c r="H27" s="60"/>
      <c r="I27" s="60"/>
      <c r="J27" s="60"/>
      <c r="K27" s="60"/>
    </row>
    <row r="28" spans="1:18" x14ac:dyDescent="0.2">
      <c r="A28" s="60"/>
      <c r="B28" s="60"/>
      <c r="C28" s="60"/>
      <c r="D28" s="60"/>
      <c r="E28" s="60"/>
      <c r="F28" s="60"/>
      <c r="G28" s="60"/>
      <c r="H28" s="60"/>
      <c r="I28" s="60"/>
      <c r="J28" s="60"/>
      <c r="K28" s="60"/>
    </row>
    <row r="29" spans="1:18" x14ac:dyDescent="0.2">
      <c r="A29" s="60"/>
      <c r="B29" s="60"/>
      <c r="C29" s="60"/>
      <c r="D29" s="60"/>
      <c r="E29" s="60"/>
      <c r="F29" s="60"/>
      <c r="G29" s="60"/>
      <c r="H29" s="60"/>
      <c r="I29" s="60"/>
      <c r="J29" s="60"/>
      <c r="K29" s="60"/>
    </row>
    <row r="30" spans="1:18" x14ac:dyDescent="0.2">
      <c r="A30" s="60"/>
      <c r="B30" s="60"/>
      <c r="C30" s="60"/>
      <c r="D30" s="60"/>
      <c r="E30" s="60"/>
      <c r="F30" s="60"/>
      <c r="G30" s="60"/>
      <c r="H30" s="60"/>
      <c r="I30" s="60"/>
      <c r="J30" s="60"/>
      <c r="K30" s="60"/>
    </row>
    <row r="31" spans="1:18" x14ac:dyDescent="0.2">
      <c r="A31" s="60"/>
      <c r="B31" s="60"/>
      <c r="C31" s="60"/>
      <c r="D31" s="60"/>
      <c r="E31" s="60"/>
      <c r="F31" s="60"/>
      <c r="G31" s="60"/>
      <c r="H31" s="60"/>
      <c r="I31" s="60"/>
      <c r="J31" s="60"/>
      <c r="K31" s="60"/>
    </row>
    <row r="32" spans="1:18" x14ac:dyDescent="0.2">
      <c r="A32" s="60"/>
      <c r="B32" s="60"/>
      <c r="C32" s="60"/>
      <c r="D32" s="60"/>
      <c r="E32" s="60"/>
      <c r="F32" s="60"/>
      <c r="G32" s="60"/>
      <c r="H32" s="60"/>
      <c r="I32" s="60"/>
      <c r="J32" s="60"/>
      <c r="K32" s="60"/>
    </row>
    <row r="33" spans="1:11" x14ac:dyDescent="0.2">
      <c r="A33" s="60"/>
      <c r="B33" s="60"/>
      <c r="C33" s="60"/>
      <c r="D33" s="60"/>
      <c r="E33" s="60"/>
      <c r="F33" s="60"/>
      <c r="G33" s="60"/>
      <c r="H33" s="60"/>
      <c r="I33" s="60"/>
      <c r="J33" s="60"/>
      <c r="K33" s="60"/>
    </row>
    <row r="34" spans="1:11" x14ac:dyDescent="0.2">
      <c r="A34" s="60"/>
      <c r="B34" s="60"/>
      <c r="C34" s="60"/>
      <c r="D34" s="60"/>
      <c r="E34" s="60"/>
      <c r="F34" s="60"/>
      <c r="G34" s="60"/>
      <c r="H34" s="60"/>
      <c r="I34" s="60"/>
      <c r="J34" s="60"/>
      <c r="K34" s="60"/>
    </row>
    <row r="35" spans="1:11" x14ac:dyDescent="0.2">
      <c r="A35" s="60"/>
      <c r="B35" s="60"/>
      <c r="C35" s="60"/>
      <c r="D35" s="60"/>
      <c r="E35" s="60"/>
      <c r="F35" s="60"/>
      <c r="G35" s="60"/>
      <c r="H35" s="60"/>
      <c r="I35" s="60"/>
      <c r="J35" s="60"/>
      <c r="K35" s="60"/>
    </row>
    <row r="36" spans="1:11" x14ac:dyDescent="0.2">
      <c r="A36" s="60"/>
      <c r="B36" s="60"/>
      <c r="C36" s="60"/>
      <c r="D36" s="60"/>
      <c r="E36" s="60"/>
      <c r="F36" s="60"/>
      <c r="G36" s="60"/>
      <c r="H36" s="60"/>
      <c r="I36" s="60"/>
      <c r="J36" s="60"/>
      <c r="K36" s="60"/>
    </row>
    <row r="37" spans="1:11" x14ac:dyDescent="0.2">
      <c r="A37" s="60"/>
      <c r="B37" s="60"/>
      <c r="C37" s="60"/>
      <c r="D37" s="60"/>
      <c r="E37" s="60"/>
      <c r="F37" s="60"/>
      <c r="G37" s="60"/>
      <c r="H37" s="60"/>
      <c r="I37" s="60"/>
      <c r="J37" s="60"/>
      <c r="K37" s="60"/>
    </row>
    <row r="38" spans="1:11" x14ac:dyDescent="0.2">
      <c r="A38" s="60"/>
      <c r="B38" s="60"/>
      <c r="C38" s="60"/>
      <c r="D38" s="60"/>
      <c r="E38" s="60"/>
      <c r="F38" s="60"/>
      <c r="G38" s="60"/>
      <c r="H38" s="60"/>
      <c r="I38" s="60"/>
      <c r="J38" s="60"/>
      <c r="K38" s="60"/>
    </row>
    <row r="39" spans="1:11" x14ac:dyDescent="0.2">
      <c r="A39" s="60"/>
      <c r="B39" s="60"/>
      <c r="C39" s="60"/>
      <c r="D39" s="60"/>
      <c r="E39" s="60"/>
      <c r="F39" s="60"/>
      <c r="G39" s="60"/>
      <c r="H39" s="60"/>
      <c r="I39" s="60"/>
      <c r="J39" s="60"/>
      <c r="K39" s="60"/>
    </row>
    <row r="40" spans="1:11" x14ac:dyDescent="0.2">
      <c r="A40" s="60"/>
      <c r="B40" s="60"/>
      <c r="C40" s="60"/>
      <c r="D40" s="60"/>
      <c r="E40" s="60"/>
      <c r="F40" s="60"/>
      <c r="G40" s="60"/>
      <c r="H40" s="60"/>
      <c r="I40" s="60"/>
      <c r="J40" s="60"/>
      <c r="K40" s="60"/>
    </row>
    <row r="41" spans="1:11" x14ac:dyDescent="0.2">
      <c r="A41" s="60"/>
      <c r="B41" s="60"/>
      <c r="C41" s="60"/>
      <c r="D41" s="60"/>
      <c r="E41" s="60"/>
      <c r="F41" s="60"/>
      <c r="G41" s="60"/>
      <c r="H41" s="60"/>
      <c r="I41" s="60"/>
      <c r="J41" s="60"/>
      <c r="K41" s="60"/>
    </row>
    <row r="42" spans="1:11" x14ac:dyDescent="0.2">
      <c r="A42" s="60"/>
      <c r="B42" s="60"/>
      <c r="C42" s="60"/>
      <c r="D42" s="60"/>
      <c r="E42" s="60"/>
      <c r="F42" s="60"/>
      <c r="G42" s="60"/>
      <c r="H42" s="60"/>
      <c r="I42" s="60"/>
      <c r="J42" s="60"/>
      <c r="K42" s="60"/>
    </row>
    <row r="43" spans="1:11" x14ac:dyDescent="0.2">
      <c r="A43" s="60"/>
      <c r="B43" s="60"/>
      <c r="C43" s="60"/>
      <c r="D43" s="60"/>
      <c r="E43" s="60"/>
      <c r="F43" s="60"/>
      <c r="G43" s="60"/>
      <c r="H43" s="60"/>
      <c r="I43" s="60"/>
      <c r="J43" s="60"/>
      <c r="K43" s="60"/>
    </row>
    <row r="44" spans="1:11" x14ac:dyDescent="0.2">
      <c r="A44" s="60"/>
      <c r="B44" s="60"/>
      <c r="C44" s="60"/>
      <c r="D44" s="60"/>
      <c r="E44" s="60"/>
      <c r="F44" s="60"/>
      <c r="G44" s="60"/>
      <c r="H44" s="60"/>
      <c r="I44" s="60"/>
      <c r="J44" s="60"/>
      <c r="K44" s="60"/>
    </row>
    <row r="45" spans="1:11" x14ac:dyDescent="0.2">
      <c r="A45" s="60"/>
      <c r="B45" s="60"/>
      <c r="C45" s="60"/>
      <c r="D45" s="60"/>
      <c r="E45" s="60"/>
      <c r="F45" s="60"/>
      <c r="G45" s="60"/>
      <c r="H45" s="60"/>
      <c r="I45" s="60"/>
      <c r="J45" s="60"/>
      <c r="K45" s="60"/>
    </row>
    <row r="46" spans="1:11" x14ac:dyDescent="0.2">
      <c r="A46" s="60"/>
      <c r="B46" s="60"/>
      <c r="C46" s="60"/>
      <c r="D46" s="60"/>
      <c r="E46" s="60"/>
      <c r="F46" s="60"/>
      <c r="G46" s="60"/>
      <c r="H46" s="60"/>
      <c r="I46" s="60"/>
      <c r="J46" s="60"/>
      <c r="K46" s="60"/>
    </row>
    <row r="47" spans="1:11" x14ac:dyDescent="0.2">
      <c r="A47" s="60"/>
      <c r="B47" s="60"/>
      <c r="C47" s="60"/>
      <c r="D47" s="60"/>
      <c r="E47" s="60"/>
      <c r="F47" s="60"/>
      <c r="G47" s="60"/>
      <c r="H47" s="60"/>
      <c r="I47" s="60"/>
      <c r="J47" s="60"/>
      <c r="K47" s="60"/>
    </row>
    <row r="48" spans="1:11" x14ac:dyDescent="0.2">
      <c r="A48" s="60"/>
      <c r="B48" s="60"/>
      <c r="C48" s="60"/>
      <c r="D48" s="60"/>
      <c r="E48" s="60"/>
      <c r="F48" s="60"/>
      <c r="G48" s="60"/>
      <c r="H48" s="60"/>
      <c r="I48" s="60"/>
      <c r="J48" s="60"/>
      <c r="K48" s="60"/>
    </row>
    <row r="49" spans="1:11" x14ac:dyDescent="0.2">
      <c r="A49" s="60"/>
      <c r="B49" s="60"/>
      <c r="C49" s="60"/>
      <c r="D49" s="60"/>
      <c r="E49" s="60"/>
      <c r="F49" s="60"/>
      <c r="G49" s="60"/>
      <c r="H49" s="60"/>
      <c r="I49" s="60"/>
      <c r="J49" s="60"/>
      <c r="K49" s="60"/>
    </row>
    <row r="50" spans="1:11" x14ac:dyDescent="0.2">
      <c r="A50" s="60"/>
      <c r="B50" s="60"/>
      <c r="C50" s="60"/>
      <c r="D50" s="60"/>
      <c r="E50" s="60"/>
      <c r="F50" s="60"/>
      <c r="G50" s="60"/>
      <c r="H50" s="60"/>
      <c r="I50" s="60"/>
      <c r="J50" s="60"/>
      <c r="K50" s="60"/>
    </row>
    <row r="51" spans="1:11" x14ac:dyDescent="0.2">
      <c r="A51" s="60"/>
      <c r="B51" s="60"/>
      <c r="C51" s="60"/>
      <c r="D51" s="60"/>
      <c r="E51" s="60"/>
      <c r="F51" s="60"/>
      <c r="G51" s="60"/>
      <c r="H51" s="60"/>
      <c r="I51" s="60"/>
      <c r="J51" s="60"/>
      <c r="K51" s="60"/>
    </row>
    <row r="52" spans="1:11" x14ac:dyDescent="0.2">
      <c r="A52" s="60"/>
      <c r="B52" s="60"/>
      <c r="C52" s="60"/>
      <c r="D52" s="60"/>
      <c r="E52" s="60"/>
      <c r="F52" s="60"/>
      <c r="G52" s="60"/>
      <c r="H52" s="60"/>
      <c r="I52" s="60"/>
      <c r="J52" s="60"/>
      <c r="K52" s="60"/>
    </row>
    <row r="53" spans="1:11" x14ac:dyDescent="0.2">
      <c r="A53" s="60"/>
      <c r="B53" s="60"/>
      <c r="C53" s="60"/>
      <c r="D53" s="60"/>
      <c r="E53" s="60"/>
      <c r="F53" s="60"/>
      <c r="G53" s="60"/>
      <c r="H53" s="60"/>
      <c r="I53" s="60"/>
      <c r="J53" s="60"/>
      <c r="K53" s="60"/>
    </row>
    <row r="54" spans="1:11" x14ac:dyDescent="0.2">
      <c r="A54" s="60"/>
      <c r="B54" s="60"/>
      <c r="C54" s="60"/>
      <c r="D54" s="60"/>
      <c r="E54" s="60"/>
      <c r="F54" s="60"/>
      <c r="G54" s="60"/>
      <c r="H54" s="60"/>
      <c r="I54" s="60"/>
      <c r="J54" s="60"/>
      <c r="K54" s="60"/>
    </row>
    <row r="55" spans="1:11" x14ac:dyDescent="0.2">
      <c r="A55" s="60"/>
      <c r="B55" s="60"/>
      <c r="C55" s="60"/>
      <c r="D55" s="60"/>
      <c r="E55" s="60"/>
      <c r="F55" s="60"/>
      <c r="G55" s="60"/>
      <c r="H55" s="60"/>
      <c r="I55" s="60"/>
      <c r="J55" s="60"/>
      <c r="K55" s="60"/>
    </row>
    <row r="56" spans="1:11" x14ac:dyDescent="0.2">
      <c r="A56" s="60"/>
      <c r="B56" s="60"/>
      <c r="C56" s="60"/>
      <c r="D56" s="60"/>
      <c r="E56" s="60"/>
      <c r="F56" s="60"/>
      <c r="G56" s="60"/>
      <c r="H56" s="60"/>
      <c r="I56" s="60"/>
      <c r="J56" s="60"/>
      <c r="K56" s="60"/>
    </row>
    <row r="57" spans="1:11" x14ac:dyDescent="0.2">
      <c r="A57" s="60"/>
      <c r="B57" s="60"/>
      <c r="C57" s="60"/>
      <c r="D57" s="60"/>
      <c r="E57" s="60"/>
      <c r="F57" s="60"/>
      <c r="G57" s="60"/>
      <c r="H57" s="60"/>
      <c r="I57" s="60"/>
      <c r="J57" s="60"/>
      <c r="K57" s="60"/>
    </row>
    <row r="58" spans="1:11" x14ac:dyDescent="0.2">
      <c r="A58" s="60"/>
      <c r="B58" s="60"/>
      <c r="C58" s="60"/>
      <c r="D58" s="60"/>
      <c r="E58" s="60"/>
      <c r="F58" s="60"/>
      <c r="G58" s="60"/>
      <c r="H58" s="60"/>
      <c r="I58" s="60"/>
      <c r="J58" s="60"/>
      <c r="K58" s="60"/>
    </row>
    <row r="59" spans="1:11" x14ac:dyDescent="0.2">
      <c r="A59" s="60"/>
      <c r="B59" s="60"/>
      <c r="C59" s="60"/>
      <c r="D59" s="60"/>
      <c r="E59" s="60"/>
      <c r="F59" s="60"/>
      <c r="G59" s="60"/>
      <c r="H59" s="60"/>
      <c r="I59" s="60"/>
      <c r="J59" s="60"/>
      <c r="K59" s="60"/>
    </row>
    <row r="60" spans="1:11" x14ac:dyDescent="0.2">
      <c r="A60" s="60"/>
      <c r="B60" s="60"/>
      <c r="C60" s="60"/>
      <c r="D60" s="60"/>
      <c r="E60" s="60"/>
      <c r="F60" s="60"/>
      <c r="G60" s="60"/>
      <c r="H60" s="60"/>
      <c r="I60" s="60"/>
      <c r="J60" s="60"/>
      <c r="K60" s="60"/>
    </row>
    <row r="61" spans="1:11" x14ac:dyDescent="0.2">
      <c r="A61" s="60"/>
      <c r="B61" s="60"/>
      <c r="C61" s="60"/>
      <c r="D61" s="60"/>
      <c r="E61" s="60"/>
      <c r="F61" s="60"/>
      <c r="G61" s="60"/>
      <c r="H61" s="60"/>
      <c r="I61" s="60"/>
      <c r="J61" s="60"/>
      <c r="K61" s="60"/>
    </row>
    <row r="62" spans="1:11" x14ac:dyDescent="0.2">
      <c r="A62" s="60"/>
      <c r="B62" s="60"/>
      <c r="C62" s="60"/>
      <c r="D62" s="60"/>
      <c r="E62" s="60"/>
      <c r="F62" s="60"/>
      <c r="G62" s="60"/>
      <c r="H62" s="60"/>
      <c r="I62" s="60"/>
      <c r="J62" s="60"/>
      <c r="K62" s="60"/>
    </row>
    <row r="63" spans="1:11" x14ac:dyDescent="0.2">
      <c r="A63" s="60"/>
      <c r="B63" s="60"/>
      <c r="C63" s="60"/>
      <c r="D63" s="60"/>
      <c r="E63" s="60"/>
      <c r="F63" s="60"/>
      <c r="G63" s="60"/>
      <c r="H63" s="60"/>
      <c r="I63" s="60"/>
      <c r="J63" s="60"/>
      <c r="K63" s="60"/>
    </row>
    <row r="64" spans="1:11" x14ac:dyDescent="0.2">
      <c r="A64" s="60"/>
      <c r="B64" s="60"/>
      <c r="C64" s="60"/>
      <c r="D64" s="60"/>
      <c r="E64" s="60"/>
      <c r="F64" s="60"/>
      <c r="G64" s="60"/>
      <c r="H64" s="60"/>
      <c r="I64" s="60"/>
      <c r="J64" s="60"/>
      <c r="K64" s="60"/>
    </row>
    <row r="65" spans="1:11" x14ac:dyDescent="0.2">
      <c r="A65" s="60"/>
      <c r="B65" s="60"/>
      <c r="C65" s="60"/>
      <c r="D65" s="60"/>
      <c r="E65" s="60"/>
      <c r="F65" s="60"/>
      <c r="G65" s="60"/>
      <c r="H65" s="60"/>
      <c r="I65" s="60"/>
      <c r="J65" s="60"/>
      <c r="K65" s="60"/>
    </row>
    <row r="66" spans="1:11" x14ac:dyDescent="0.2">
      <c r="A66" s="60"/>
      <c r="B66" s="60"/>
      <c r="C66" s="60"/>
      <c r="D66" s="60"/>
      <c r="E66" s="60"/>
      <c r="F66" s="60"/>
      <c r="G66" s="60"/>
      <c r="H66" s="60"/>
      <c r="I66" s="60"/>
      <c r="J66" s="60"/>
      <c r="K66" s="60"/>
    </row>
    <row r="67" spans="1:11" x14ac:dyDescent="0.2">
      <c r="A67" s="60"/>
      <c r="B67" s="60"/>
      <c r="C67" s="60"/>
      <c r="D67" s="60"/>
      <c r="E67" s="60"/>
      <c r="F67" s="60"/>
      <c r="G67" s="60"/>
      <c r="H67" s="60"/>
      <c r="I67" s="60"/>
      <c r="J67" s="60"/>
      <c r="K67" s="60"/>
    </row>
    <row r="68" spans="1:11" x14ac:dyDescent="0.2">
      <c r="A68" s="60"/>
      <c r="B68" s="60"/>
      <c r="C68" s="60"/>
      <c r="D68" s="60"/>
      <c r="E68" s="60"/>
      <c r="F68" s="60"/>
      <c r="G68" s="60"/>
      <c r="H68" s="60"/>
      <c r="I68" s="60"/>
      <c r="J68" s="60"/>
      <c r="K68" s="60"/>
    </row>
    <row r="69" spans="1:11" x14ac:dyDescent="0.2">
      <c r="A69" s="60"/>
      <c r="B69" s="60"/>
      <c r="C69" s="60"/>
      <c r="D69" s="60"/>
      <c r="E69" s="60"/>
      <c r="F69" s="60"/>
      <c r="G69" s="60"/>
      <c r="H69" s="60"/>
      <c r="I69" s="60"/>
      <c r="J69" s="60"/>
      <c r="K69" s="60"/>
    </row>
    <row r="70" spans="1:11" x14ac:dyDescent="0.2">
      <c r="A70" s="60"/>
      <c r="B70" s="60"/>
      <c r="C70" s="60"/>
      <c r="D70" s="60"/>
      <c r="E70" s="60"/>
      <c r="F70" s="60"/>
      <c r="G70" s="60"/>
      <c r="H70" s="60"/>
      <c r="I70" s="60"/>
      <c r="J70" s="60"/>
      <c r="K70" s="60"/>
    </row>
    <row r="71" spans="1:11" x14ac:dyDescent="0.2">
      <c r="A71" s="60"/>
      <c r="B71" s="60"/>
      <c r="C71" s="60"/>
      <c r="D71" s="60"/>
      <c r="E71" s="60"/>
      <c r="F71" s="60"/>
      <c r="G71" s="60"/>
      <c r="H71" s="60"/>
      <c r="I71" s="60"/>
      <c r="J71" s="60"/>
      <c r="K71" s="60"/>
    </row>
    <row r="72" spans="1:11" x14ac:dyDescent="0.2">
      <c r="A72" s="60"/>
      <c r="B72" s="60"/>
      <c r="C72" s="60"/>
      <c r="D72" s="60"/>
      <c r="E72" s="60"/>
      <c r="F72" s="60"/>
      <c r="G72" s="60"/>
      <c r="H72" s="60"/>
      <c r="I72" s="60"/>
      <c r="J72" s="60"/>
      <c r="K72" s="60"/>
    </row>
    <row r="73" spans="1:11" x14ac:dyDescent="0.2">
      <c r="A73" s="60"/>
      <c r="B73" s="60"/>
      <c r="C73" s="60"/>
      <c r="D73" s="60"/>
      <c r="E73" s="60"/>
      <c r="F73" s="60"/>
      <c r="G73" s="60"/>
      <c r="H73" s="60"/>
      <c r="I73" s="60"/>
      <c r="J73" s="60"/>
      <c r="K73" s="60"/>
    </row>
    <row r="74" spans="1:11" x14ac:dyDescent="0.2">
      <c r="A74" s="60"/>
      <c r="B74" s="60"/>
      <c r="C74" s="60"/>
      <c r="D74" s="60"/>
      <c r="E74" s="60"/>
      <c r="F74" s="60"/>
      <c r="G74" s="60"/>
      <c r="H74" s="60"/>
      <c r="I74" s="60"/>
      <c r="J74" s="60"/>
      <c r="K74" s="60"/>
    </row>
    <row r="75" spans="1:11" x14ac:dyDescent="0.2">
      <c r="A75" s="60"/>
      <c r="B75" s="60"/>
      <c r="C75" s="60"/>
      <c r="D75" s="60"/>
      <c r="E75" s="60"/>
      <c r="F75" s="60"/>
      <c r="G75" s="60"/>
      <c r="H75" s="60"/>
      <c r="I75" s="60"/>
      <c r="J75" s="60"/>
      <c r="K75" s="60"/>
    </row>
    <row r="76" spans="1:11" x14ac:dyDescent="0.2">
      <c r="A76" s="60"/>
      <c r="B76" s="60"/>
      <c r="C76" s="60"/>
      <c r="D76" s="60"/>
      <c r="E76" s="60"/>
      <c r="F76" s="60"/>
      <c r="G76" s="60"/>
      <c r="H76" s="60"/>
      <c r="I76" s="60"/>
      <c r="J76" s="60"/>
      <c r="K76" s="60"/>
    </row>
    <row r="77" spans="1:11" x14ac:dyDescent="0.2">
      <c r="A77" s="60"/>
      <c r="B77" s="60"/>
      <c r="C77" s="60"/>
      <c r="D77" s="60"/>
      <c r="E77" s="60"/>
      <c r="F77" s="60"/>
      <c r="G77" s="60"/>
      <c r="H77" s="60"/>
      <c r="I77" s="60"/>
      <c r="J77" s="60"/>
      <c r="K77" s="60"/>
    </row>
    <row r="78" spans="1:11" x14ac:dyDescent="0.2">
      <c r="A78" s="60"/>
      <c r="B78" s="60"/>
      <c r="C78" s="60"/>
      <c r="D78" s="60"/>
      <c r="E78" s="60"/>
      <c r="F78" s="60"/>
      <c r="G78" s="60"/>
      <c r="H78" s="60"/>
      <c r="I78" s="60"/>
      <c r="J78" s="60"/>
      <c r="K78" s="60"/>
    </row>
    <row r="79" spans="1:11" x14ac:dyDescent="0.2">
      <c r="A79" s="60"/>
      <c r="B79" s="60"/>
      <c r="C79" s="60"/>
      <c r="D79" s="60"/>
      <c r="E79" s="60"/>
      <c r="F79" s="60"/>
      <c r="G79" s="60"/>
      <c r="H79" s="60"/>
      <c r="I79" s="60"/>
      <c r="J79" s="60"/>
      <c r="K79" s="60"/>
    </row>
    <row r="80" spans="1:11" x14ac:dyDescent="0.2">
      <c r="A80" s="60"/>
      <c r="B80" s="60"/>
      <c r="C80" s="60"/>
      <c r="D80" s="60"/>
      <c r="E80" s="60"/>
      <c r="F80" s="60"/>
      <c r="G80" s="60"/>
      <c r="H80" s="60"/>
      <c r="I80" s="60"/>
      <c r="J80" s="60"/>
      <c r="K80" s="60"/>
    </row>
    <row r="81" spans="1:11" x14ac:dyDescent="0.2">
      <c r="A81" s="60"/>
      <c r="B81" s="60"/>
      <c r="C81" s="60"/>
      <c r="D81" s="60"/>
      <c r="E81" s="60"/>
      <c r="F81" s="60"/>
      <c r="G81" s="60"/>
      <c r="H81" s="60"/>
      <c r="I81" s="60"/>
      <c r="J81" s="60"/>
      <c r="K81" s="60"/>
    </row>
    <row r="82" spans="1:11" x14ac:dyDescent="0.2">
      <c r="A82" s="60"/>
      <c r="B82" s="60"/>
      <c r="C82" s="60"/>
      <c r="D82" s="60"/>
      <c r="E82" s="60"/>
      <c r="F82" s="60"/>
      <c r="G82" s="60"/>
      <c r="H82" s="60"/>
      <c r="I82" s="60"/>
      <c r="J82" s="60"/>
      <c r="K82" s="60"/>
    </row>
    <row r="83" spans="1:11" x14ac:dyDescent="0.2">
      <c r="A83" s="60"/>
      <c r="B83" s="60"/>
      <c r="C83" s="60"/>
      <c r="D83" s="60"/>
      <c r="E83" s="60"/>
      <c r="F83" s="60"/>
      <c r="G83" s="60"/>
      <c r="H83" s="60"/>
      <c r="I83" s="60"/>
      <c r="J83" s="60"/>
      <c r="K83" s="60"/>
    </row>
    <row r="84" spans="1:11" x14ac:dyDescent="0.2">
      <c r="A84" s="60"/>
      <c r="B84" s="60"/>
      <c r="C84" s="60"/>
      <c r="D84" s="60"/>
      <c r="E84" s="60"/>
      <c r="F84" s="60"/>
      <c r="G84" s="60"/>
      <c r="H84" s="60"/>
      <c r="I84" s="60"/>
      <c r="J84" s="60"/>
      <c r="K84" s="60"/>
    </row>
    <row r="85" spans="1:11" x14ac:dyDescent="0.2">
      <c r="A85" s="60"/>
      <c r="B85" s="60"/>
      <c r="C85" s="60"/>
      <c r="D85" s="60"/>
      <c r="E85" s="60"/>
      <c r="F85" s="60"/>
      <c r="G85" s="60"/>
      <c r="H85" s="60"/>
      <c r="I85" s="60"/>
      <c r="J85" s="60"/>
      <c r="K85" s="60"/>
    </row>
    <row r="86" spans="1:11" x14ac:dyDescent="0.2">
      <c r="A86" s="60"/>
      <c r="B86" s="60"/>
      <c r="C86" s="60"/>
      <c r="D86" s="60"/>
      <c r="E86" s="60"/>
      <c r="F86" s="60"/>
      <c r="G86" s="60"/>
      <c r="H86" s="60"/>
      <c r="I86" s="60"/>
      <c r="J86" s="60"/>
      <c r="K86" s="60"/>
    </row>
    <row r="87" spans="1:11" x14ac:dyDescent="0.2">
      <c r="A87" s="60"/>
      <c r="B87" s="60"/>
      <c r="C87" s="60"/>
      <c r="D87" s="60"/>
      <c r="E87" s="60"/>
      <c r="F87" s="60"/>
      <c r="G87" s="60"/>
      <c r="H87" s="60"/>
      <c r="I87" s="60"/>
      <c r="J87" s="60"/>
      <c r="K87" s="60"/>
    </row>
    <row r="88" spans="1:11" x14ac:dyDescent="0.2">
      <c r="A88" s="60"/>
      <c r="B88" s="60"/>
      <c r="C88" s="60"/>
      <c r="D88" s="60"/>
      <c r="E88" s="60"/>
      <c r="F88" s="60"/>
      <c r="G88" s="60"/>
      <c r="H88" s="60"/>
      <c r="I88" s="60"/>
      <c r="J88" s="60"/>
      <c r="K88" s="60"/>
    </row>
    <row r="89" spans="1:11" x14ac:dyDescent="0.2">
      <c r="A89" s="60"/>
      <c r="B89" s="60"/>
      <c r="C89" s="60"/>
      <c r="D89" s="60"/>
      <c r="E89" s="60"/>
      <c r="F89" s="60"/>
      <c r="G89" s="60"/>
      <c r="H89" s="60"/>
      <c r="I89" s="60"/>
      <c r="J89" s="60"/>
      <c r="K89" s="60"/>
    </row>
    <row r="90" spans="1:11" x14ac:dyDescent="0.2">
      <c r="A90" s="60"/>
      <c r="B90" s="60"/>
      <c r="C90" s="60"/>
      <c r="D90" s="60"/>
      <c r="E90" s="60"/>
      <c r="F90" s="60"/>
      <c r="G90" s="60"/>
      <c r="H90" s="60"/>
      <c r="I90" s="60"/>
      <c r="J90" s="60"/>
      <c r="K90" s="60"/>
    </row>
    <row r="91" spans="1:11" x14ac:dyDescent="0.2">
      <c r="A91" s="60"/>
      <c r="B91" s="60"/>
      <c r="C91" s="60"/>
      <c r="D91" s="60"/>
      <c r="E91" s="60"/>
      <c r="F91" s="60"/>
      <c r="G91" s="60"/>
      <c r="H91" s="60"/>
      <c r="I91" s="60"/>
      <c r="J91" s="60"/>
      <c r="K91" s="60"/>
    </row>
    <row r="92" spans="1:11" x14ac:dyDescent="0.2">
      <c r="A92" s="60"/>
      <c r="B92" s="60"/>
      <c r="C92" s="60"/>
      <c r="D92" s="60"/>
      <c r="E92" s="60"/>
      <c r="F92" s="60"/>
      <c r="G92" s="60"/>
      <c r="H92" s="60"/>
      <c r="I92" s="60"/>
      <c r="J92" s="60"/>
      <c r="K92" s="60"/>
    </row>
    <row r="93" spans="1:11" x14ac:dyDescent="0.2">
      <c r="A93" s="60"/>
      <c r="B93" s="60"/>
      <c r="C93" s="60"/>
      <c r="D93" s="60"/>
      <c r="E93" s="60"/>
      <c r="F93" s="60"/>
      <c r="G93" s="60"/>
      <c r="H93" s="60"/>
      <c r="I93" s="60"/>
      <c r="J93" s="60"/>
      <c r="K93" s="60"/>
    </row>
    <row r="94" spans="1:11" x14ac:dyDescent="0.2">
      <c r="A94" s="60"/>
      <c r="B94" s="60"/>
      <c r="C94" s="60"/>
      <c r="D94" s="60"/>
      <c r="E94" s="60"/>
      <c r="F94" s="60"/>
      <c r="G94" s="60"/>
      <c r="H94" s="60"/>
      <c r="I94" s="60"/>
      <c r="J94" s="60"/>
      <c r="K94" s="60"/>
    </row>
    <row r="95" spans="1:11" x14ac:dyDescent="0.2">
      <c r="A95" s="60"/>
      <c r="B95" s="60"/>
      <c r="C95" s="60"/>
      <c r="D95" s="60"/>
      <c r="E95" s="60"/>
      <c r="F95" s="60"/>
      <c r="G95" s="60"/>
      <c r="H95" s="60"/>
      <c r="I95" s="60"/>
      <c r="J95" s="60"/>
      <c r="K95" s="60"/>
    </row>
    <row r="96" spans="1:11" x14ac:dyDescent="0.2">
      <c r="A96" s="60"/>
      <c r="B96" s="60"/>
      <c r="C96" s="60"/>
      <c r="D96" s="60"/>
      <c r="E96" s="60"/>
      <c r="F96" s="60"/>
      <c r="G96" s="60"/>
      <c r="H96" s="60"/>
      <c r="I96" s="60"/>
      <c r="J96" s="60"/>
      <c r="K96" s="60"/>
    </row>
    <row r="97" spans="1:11" x14ac:dyDescent="0.2">
      <c r="A97" s="60"/>
      <c r="B97" s="60"/>
      <c r="C97" s="60"/>
      <c r="D97" s="60"/>
      <c r="E97" s="60"/>
      <c r="F97" s="60"/>
      <c r="G97" s="60"/>
      <c r="H97" s="60"/>
      <c r="I97" s="60"/>
      <c r="J97" s="60"/>
      <c r="K97" s="60"/>
    </row>
    <row r="98" spans="1:11" x14ac:dyDescent="0.2">
      <c r="A98" s="60"/>
      <c r="B98" s="60"/>
      <c r="C98" s="60"/>
      <c r="D98" s="60"/>
      <c r="E98" s="60"/>
      <c r="F98" s="60"/>
      <c r="G98" s="60"/>
      <c r="H98" s="60"/>
      <c r="I98" s="60"/>
      <c r="J98" s="60"/>
      <c r="K98" s="60"/>
    </row>
    <row r="99" spans="1:11" x14ac:dyDescent="0.2">
      <c r="A99" s="60"/>
      <c r="B99" s="60"/>
      <c r="C99" s="60"/>
      <c r="D99" s="60"/>
      <c r="E99" s="60"/>
      <c r="F99" s="60"/>
      <c r="G99" s="60"/>
      <c r="H99" s="60"/>
      <c r="I99" s="60"/>
      <c r="J99" s="60"/>
      <c r="K99" s="60"/>
    </row>
    <row r="100" spans="1:11" x14ac:dyDescent="0.2">
      <c r="A100" s="60"/>
      <c r="B100" s="60"/>
      <c r="C100" s="60"/>
      <c r="D100" s="60"/>
      <c r="E100" s="60"/>
      <c r="F100" s="60"/>
      <c r="G100" s="60"/>
      <c r="H100" s="60"/>
      <c r="I100" s="60"/>
      <c r="J100" s="60"/>
      <c r="K100" s="60"/>
    </row>
    <row r="101" spans="1:11" x14ac:dyDescent="0.2">
      <c r="A101" s="60"/>
      <c r="B101" s="60"/>
      <c r="C101" s="60"/>
      <c r="D101" s="60"/>
      <c r="E101" s="60"/>
      <c r="F101" s="60"/>
      <c r="G101" s="60"/>
      <c r="H101" s="60"/>
      <c r="I101" s="60"/>
      <c r="J101" s="60"/>
      <c r="K101" s="60"/>
    </row>
    <row r="102" spans="1:11" x14ac:dyDescent="0.2">
      <c r="A102" s="60"/>
      <c r="B102" s="60"/>
      <c r="C102" s="60"/>
      <c r="D102" s="60"/>
      <c r="E102" s="60"/>
      <c r="F102" s="60"/>
      <c r="G102" s="60"/>
      <c r="H102" s="60"/>
      <c r="I102" s="60"/>
      <c r="J102" s="60"/>
      <c r="K102" s="60"/>
    </row>
    <row r="103" spans="1:11" x14ac:dyDescent="0.2">
      <c r="A103" s="60"/>
      <c r="B103" s="60"/>
      <c r="C103" s="60"/>
      <c r="D103" s="60"/>
      <c r="E103" s="60"/>
      <c r="F103" s="60"/>
      <c r="G103" s="60"/>
      <c r="H103" s="60"/>
      <c r="I103" s="60"/>
      <c r="J103" s="60"/>
      <c r="K103" s="60"/>
    </row>
    <row r="104" spans="1:11" x14ac:dyDescent="0.2">
      <c r="A104" s="60"/>
      <c r="B104" s="60"/>
      <c r="C104" s="60"/>
      <c r="D104" s="60"/>
      <c r="E104" s="60"/>
      <c r="F104" s="60"/>
      <c r="G104" s="60"/>
      <c r="H104" s="60"/>
      <c r="I104" s="60"/>
      <c r="J104" s="60"/>
      <c r="K104" s="60"/>
    </row>
    <row r="105" spans="1:11" x14ac:dyDescent="0.2">
      <c r="A105" s="60"/>
      <c r="B105" s="60"/>
      <c r="C105" s="60"/>
      <c r="D105" s="60"/>
      <c r="E105" s="60"/>
      <c r="F105" s="60"/>
      <c r="G105" s="60"/>
      <c r="H105" s="60"/>
      <c r="I105" s="60"/>
      <c r="J105" s="60"/>
      <c r="K105" s="60"/>
    </row>
    <row r="106" spans="1:11" x14ac:dyDescent="0.2">
      <c r="A106" s="60"/>
      <c r="B106" s="60"/>
      <c r="C106" s="60"/>
      <c r="D106" s="60"/>
      <c r="E106" s="60"/>
      <c r="F106" s="60"/>
      <c r="G106" s="60"/>
      <c r="H106" s="60"/>
      <c r="I106" s="60"/>
      <c r="J106" s="60"/>
      <c r="K106" s="60"/>
    </row>
    <row r="107" spans="1:11" x14ac:dyDescent="0.2">
      <c r="A107" s="60"/>
      <c r="B107" s="60"/>
      <c r="C107" s="60"/>
      <c r="D107" s="60"/>
      <c r="E107" s="60"/>
      <c r="F107" s="60"/>
      <c r="G107" s="60"/>
      <c r="H107" s="60"/>
      <c r="I107" s="60"/>
      <c r="J107" s="60"/>
      <c r="K107" s="60"/>
    </row>
    <row r="108" spans="1:11" x14ac:dyDescent="0.2">
      <c r="A108" s="60"/>
      <c r="B108" s="60"/>
      <c r="C108" s="60"/>
      <c r="D108" s="60"/>
      <c r="E108" s="60"/>
      <c r="F108" s="60"/>
      <c r="G108" s="60"/>
      <c r="H108" s="60"/>
      <c r="I108" s="60"/>
      <c r="J108" s="60"/>
      <c r="K108" s="60"/>
    </row>
    <row r="109" spans="1:11" x14ac:dyDescent="0.2">
      <c r="A109" s="60"/>
      <c r="B109" s="60"/>
      <c r="C109" s="60"/>
      <c r="D109" s="60"/>
      <c r="E109" s="60"/>
      <c r="F109" s="60"/>
      <c r="G109" s="60"/>
      <c r="H109" s="60"/>
      <c r="I109" s="60"/>
      <c r="J109" s="60"/>
      <c r="K109" s="60"/>
    </row>
    <row r="110" spans="1:11" x14ac:dyDescent="0.2">
      <c r="A110" s="60"/>
      <c r="B110" s="60"/>
      <c r="C110" s="60"/>
      <c r="D110" s="60"/>
      <c r="E110" s="60"/>
      <c r="F110" s="60"/>
      <c r="G110" s="60"/>
      <c r="H110" s="60"/>
      <c r="I110" s="60"/>
      <c r="J110" s="60"/>
      <c r="K110" s="60"/>
    </row>
    <row r="111" spans="1:11" x14ac:dyDescent="0.2">
      <c r="A111" s="60"/>
      <c r="B111" s="60"/>
      <c r="C111" s="60"/>
      <c r="D111" s="60"/>
      <c r="E111" s="60"/>
      <c r="F111" s="60"/>
      <c r="G111" s="60"/>
      <c r="H111" s="60"/>
      <c r="I111" s="60"/>
      <c r="J111" s="60"/>
      <c r="K111" s="60"/>
    </row>
    <row r="112" spans="1:11" x14ac:dyDescent="0.2">
      <c r="A112" s="60"/>
      <c r="B112" s="60"/>
      <c r="C112" s="60"/>
      <c r="D112" s="60"/>
      <c r="E112" s="60"/>
      <c r="F112" s="60"/>
      <c r="G112" s="60"/>
      <c r="H112" s="60"/>
      <c r="I112" s="60"/>
      <c r="J112" s="60"/>
      <c r="K112" s="60"/>
    </row>
    <row r="113" spans="1:11" x14ac:dyDescent="0.2">
      <c r="A113" s="60"/>
      <c r="B113" s="60"/>
      <c r="C113" s="60"/>
      <c r="D113" s="60"/>
      <c r="E113" s="60"/>
      <c r="F113" s="60"/>
      <c r="G113" s="60"/>
      <c r="H113" s="60"/>
      <c r="I113" s="60"/>
      <c r="J113" s="60"/>
      <c r="K113" s="60"/>
    </row>
    <row r="114" spans="1:11" x14ac:dyDescent="0.2">
      <c r="A114" s="60"/>
      <c r="B114" s="60"/>
      <c r="C114" s="60"/>
      <c r="D114" s="60"/>
      <c r="E114" s="60"/>
      <c r="F114" s="60"/>
      <c r="G114" s="60"/>
      <c r="H114" s="60"/>
      <c r="I114" s="60"/>
      <c r="J114" s="60"/>
      <c r="K114" s="60"/>
    </row>
    <row r="115" spans="1:11" x14ac:dyDescent="0.2">
      <c r="A115" s="60"/>
      <c r="B115" s="60"/>
      <c r="C115" s="60"/>
      <c r="D115" s="60"/>
      <c r="E115" s="60"/>
      <c r="F115" s="60"/>
      <c r="G115" s="60"/>
      <c r="H115" s="60"/>
      <c r="I115" s="60"/>
      <c r="J115" s="60"/>
      <c r="K115" s="60"/>
    </row>
    <row r="116" spans="1:11" x14ac:dyDescent="0.2">
      <c r="A116" s="60"/>
      <c r="B116" s="60"/>
      <c r="C116" s="60"/>
      <c r="D116" s="60"/>
      <c r="E116" s="60"/>
      <c r="F116" s="60"/>
      <c r="G116" s="60"/>
      <c r="H116" s="60"/>
      <c r="I116" s="60"/>
      <c r="J116" s="60"/>
      <c r="K116" s="60"/>
    </row>
    <row r="117" spans="1:11" x14ac:dyDescent="0.2">
      <c r="A117" s="60"/>
      <c r="B117" s="60"/>
      <c r="C117" s="60"/>
      <c r="D117" s="60"/>
      <c r="E117" s="60"/>
      <c r="F117" s="60"/>
      <c r="G117" s="60"/>
      <c r="H117" s="60"/>
      <c r="I117" s="60"/>
      <c r="J117" s="60"/>
      <c r="K117" s="60"/>
    </row>
    <row r="118" spans="1:11" x14ac:dyDescent="0.2">
      <c r="A118" s="60"/>
      <c r="B118" s="60"/>
      <c r="C118" s="60"/>
      <c r="D118" s="60"/>
      <c r="E118" s="60"/>
      <c r="F118" s="60"/>
      <c r="G118" s="60"/>
      <c r="H118" s="60"/>
      <c r="I118" s="60"/>
      <c r="J118" s="60"/>
      <c r="K118" s="60"/>
    </row>
    <row r="119" spans="1:11" x14ac:dyDescent="0.2">
      <c r="A119" s="60"/>
      <c r="B119" s="60"/>
      <c r="C119" s="60"/>
      <c r="D119" s="60"/>
      <c r="E119" s="60"/>
      <c r="F119" s="60"/>
      <c r="G119" s="60"/>
      <c r="H119" s="60"/>
      <c r="I119" s="60"/>
      <c r="J119" s="60"/>
      <c r="K119" s="60"/>
    </row>
    <row r="120" spans="1:11" x14ac:dyDescent="0.2">
      <c r="A120" s="60"/>
      <c r="B120" s="60"/>
      <c r="C120" s="60"/>
      <c r="D120" s="60"/>
      <c r="E120" s="60"/>
      <c r="F120" s="60"/>
      <c r="G120" s="60"/>
      <c r="H120" s="60"/>
      <c r="I120" s="60"/>
      <c r="J120" s="60"/>
      <c r="K120" s="60"/>
    </row>
  </sheetData>
  <phoneticPr fontId="0" type="noConversion"/>
  <pageMargins left="0" right="0" top="0.5" bottom="0.5" header="0.5" footer="0.5"/>
  <pageSetup scale="85" orientation="landscape" r:id="rId1"/>
  <headerFooter alignWithMargins="0"/>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P102"/>
  <sheetViews>
    <sheetView zoomScaleNormal="100" workbookViewId="0">
      <selection activeCell="G25" sqref="G25"/>
    </sheetView>
  </sheetViews>
  <sheetFormatPr defaultRowHeight="12.75" x14ac:dyDescent="0.2"/>
  <cols>
    <col min="2" max="2" width="2.5703125" customWidth="1"/>
    <col min="3" max="12" width="12.28515625" customWidth="1"/>
    <col min="13" max="13" width="2.28515625" customWidth="1"/>
    <col min="14" max="14" width="14.85546875" bestFit="1" customWidth="1"/>
  </cols>
  <sheetData>
    <row r="1" spans="1:16" x14ac:dyDescent="0.2">
      <c r="A1" s="52" t="str">
        <f>"Residential Tonnages by Commodity:  "&amp;TEXT(A7,"mmmm")&amp;" - "&amp;TEXT(A18,"mmmm")</f>
        <v>Residential Tonnages by Commodity:  May - April</v>
      </c>
      <c r="B1" s="53"/>
    </row>
    <row r="2" spans="1:16" x14ac:dyDescent="0.2">
      <c r="A2" s="54" t="str">
        <f>'SF Value'!A2</f>
        <v>Kent-Meridian Disposal</v>
      </c>
      <c r="B2" s="54"/>
    </row>
    <row r="3" spans="1:16" x14ac:dyDescent="0.2">
      <c r="A3" s="54"/>
      <c r="B3" s="54"/>
    </row>
    <row r="4" spans="1:16" x14ac:dyDescent="0.2">
      <c r="A4" s="53"/>
      <c r="B4" s="55"/>
      <c r="C4" s="56" t="s">
        <v>21</v>
      </c>
      <c r="D4" s="56" t="s">
        <v>22</v>
      </c>
      <c r="E4" s="56" t="s">
        <v>55</v>
      </c>
      <c r="F4" s="56" t="s">
        <v>23</v>
      </c>
      <c r="G4" s="56" t="s">
        <v>24</v>
      </c>
      <c r="H4" s="56" t="s">
        <v>25</v>
      </c>
      <c r="I4" s="56" t="s">
        <v>26</v>
      </c>
      <c r="J4" s="56" t="s">
        <v>27</v>
      </c>
      <c r="K4" s="56" t="s">
        <v>28</v>
      </c>
      <c r="L4" s="56" t="s">
        <v>29</v>
      </c>
      <c r="M4" s="56"/>
      <c r="N4" s="56" t="s">
        <v>30</v>
      </c>
    </row>
    <row r="5" spans="1:16" s="58" customFormat="1" x14ac:dyDescent="0.2">
      <c r="A5" s="57"/>
      <c r="B5" s="57"/>
      <c r="C5" s="107">
        <v>55</v>
      </c>
      <c r="D5" s="108">
        <v>57</v>
      </c>
      <c r="E5" s="108">
        <v>58</v>
      </c>
      <c r="F5" s="107">
        <v>53</v>
      </c>
      <c r="G5" s="107">
        <v>50</v>
      </c>
      <c r="H5" s="107">
        <v>60</v>
      </c>
      <c r="I5" s="107">
        <v>54</v>
      </c>
      <c r="J5" s="107">
        <v>54</v>
      </c>
      <c r="K5" s="107">
        <v>51</v>
      </c>
      <c r="L5" s="107">
        <v>59</v>
      </c>
    </row>
    <row r="6" spans="1:16" x14ac:dyDescent="0.2">
      <c r="A6" s="59"/>
      <c r="B6" s="60"/>
      <c r="C6" s="61"/>
      <c r="D6" s="61"/>
      <c r="E6" s="61"/>
      <c r="F6" s="61"/>
      <c r="G6" s="61"/>
      <c r="H6" s="61"/>
      <c r="I6" s="61"/>
      <c r="J6" s="61"/>
      <c r="L6" s="60"/>
      <c r="M6" s="60"/>
      <c r="N6" s="61" t="s">
        <v>31</v>
      </c>
    </row>
    <row r="7" spans="1:16" x14ac:dyDescent="0.2">
      <c r="A7" s="59">
        <f>'Single Family'!C6</f>
        <v>41760</v>
      </c>
      <c r="B7" s="60"/>
      <c r="C7" s="65">
        <f>HLOOKUP($A7,'Single Family'!$C$6:$N$79,C$5,FALSE)</f>
        <v>4.621079493599165</v>
      </c>
      <c r="D7" s="69">
        <f>HLOOKUP($A7,'Single Family'!$C$6:$N$79,D$5,FALSE)</f>
        <v>108.93424726244433</v>
      </c>
      <c r="E7" s="69">
        <f>HLOOKUP($A7,'Single Family'!$C$6:$N$79,E$5,FALSE)</f>
        <v>0</v>
      </c>
      <c r="F7" s="65">
        <f>HLOOKUP($A7,'Single Family'!$C$6:$N$79,F$5,FALSE)</f>
        <v>10.166374885918163</v>
      </c>
      <c r="G7" s="65">
        <f>HLOOKUP($A7,'Single Family'!$C$6:$N$79,G$5,FALSE)</f>
        <v>120.1480668335783</v>
      </c>
      <c r="H7" s="65">
        <f>HLOOKUP($A7,'Single Family'!$C$6:$N$79,H$5,FALSE)</f>
        <v>198.27511747202806</v>
      </c>
      <c r="I7" s="65">
        <f>HLOOKUP($A7,'Single Family'!$C$6:$N$79,I$5,FALSE)/2</f>
        <v>13.832431284173502</v>
      </c>
      <c r="J7" s="65">
        <f>HLOOKUP($A7,'Single Family'!$C$6:$N$79,J$5,FALSE)/2</f>
        <v>13.832431284173502</v>
      </c>
      <c r="K7" s="65">
        <f>HLOOKUP($A7,'Single Family'!$C$6:$N$79,K$5,FALSE)</f>
        <v>109.79684876791616</v>
      </c>
      <c r="L7" s="69">
        <f>HLOOKUP($A7,'Single Family'!$C$6:$N$79,L$5,FALSE)</f>
        <v>36.537335196057477</v>
      </c>
      <c r="M7" s="70"/>
      <c r="N7" s="70">
        <f t="shared" ref="N7:N18" si="0">SUM(C7:L7)</f>
        <v>616.14393247988858</v>
      </c>
      <c r="P7" s="62"/>
    </row>
    <row r="8" spans="1:16" x14ac:dyDescent="0.2">
      <c r="A8" s="59">
        <f t="shared" ref="A8:A18" si="1">EOMONTH(A7,1)</f>
        <v>41820</v>
      </c>
      <c r="B8" s="60"/>
      <c r="C8" s="65">
        <f>HLOOKUP($A8,'Single Family'!$C$6:$N$79,C$5,FALSE)</f>
        <v>4.426361989944418</v>
      </c>
      <c r="D8" s="69">
        <f>HLOOKUP($A8,'Single Family'!$C$6:$N$79,D$5,FALSE)</f>
        <v>104.34410664295643</v>
      </c>
      <c r="E8" s="69">
        <f>HLOOKUP($A8,'Single Family'!$C$6:$N$79,E$5,FALSE)</f>
        <v>0</v>
      </c>
      <c r="F8" s="65">
        <f>HLOOKUP($A8,'Single Family'!$C$6:$N$79,F$5,FALSE)</f>
        <v>9.737996377877721</v>
      </c>
      <c r="G8" s="65">
        <f>HLOOKUP($A8,'Single Family'!$C$6:$N$79,G$5,FALSE)</f>
        <v>115.08541173855488</v>
      </c>
      <c r="H8" s="65">
        <f>HLOOKUP($A8,'Single Family'!$C$6:$N$79,H$5,FALSE)</f>
        <v>189.9204384485484</v>
      </c>
      <c r="I8" s="65">
        <f>HLOOKUP($A8,'Single Family'!$C$6:$N$79,I$5,FALSE)/2</f>
        <v>13.249576889900293</v>
      </c>
      <c r="J8" s="65">
        <f>HLOOKUP($A8,'Single Family'!$C$6:$N$79,J$5,FALSE)/2</f>
        <v>13.249576889900293</v>
      </c>
      <c r="K8" s="65">
        <f>HLOOKUP($A8,'Single Family'!$C$6:$N$79,K$5,FALSE)</f>
        <v>105.17036088107938</v>
      </c>
      <c r="L8" s="69">
        <f>HLOOKUP($A8,'Single Family'!$C$6:$N$79,L$5,FALSE)</f>
        <v>34.997768800493944</v>
      </c>
      <c r="M8" s="70"/>
      <c r="N8" s="70">
        <f t="shared" si="0"/>
        <v>590.18159865925577</v>
      </c>
      <c r="P8" s="62"/>
    </row>
    <row r="9" spans="1:16" x14ac:dyDescent="0.2">
      <c r="A9" s="59">
        <f t="shared" si="1"/>
        <v>41851</v>
      </c>
      <c r="B9" s="60"/>
      <c r="C9" s="65">
        <f>HLOOKUP($A9,'Single Family'!$C$6:$N$79,C$5,FALSE)</f>
        <v>4.1780716999329046</v>
      </c>
      <c r="D9" s="69">
        <f>HLOOKUP($A9,'Single Family'!$C$6:$N$79,D$5,FALSE)</f>
        <v>98.491076873085021</v>
      </c>
      <c r="E9" s="69">
        <f>HLOOKUP($A9,'Single Family'!$C$6:$N$79,E$5,FALSE)</f>
        <v>0</v>
      </c>
      <c r="F9" s="65">
        <f>HLOOKUP($A9,'Single Family'!$C$6:$N$79,F$5,FALSE)</f>
        <v>9.1917577398523918</v>
      </c>
      <c r="G9" s="65">
        <f>HLOOKUP($A9,'Single Family'!$C$6:$N$79,G$5,FALSE)</f>
        <v>108.62986419825553</v>
      </c>
      <c r="H9" s="65">
        <f>HLOOKUP($A9,'Single Family'!$C$6:$N$79,H$5,FALSE)</f>
        <v>179.26712973845446</v>
      </c>
      <c r="I9" s="65">
        <f>HLOOKUP($A9,'Single Family'!$C$6:$N$79,I$5,FALSE)/2</f>
        <v>12.506361288465829</v>
      </c>
      <c r="J9" s="65">
        <f>HLOOKUP($A9,'Single Family'!$C$6:$N$79,J$5,FALSE)/2</f>
        <v>12.506361288465829</v>
      </c>
      <c r="K9" s="65">
        <f>HLOOKUP($A9,'Single Family'!$C$6:$N$79,K$5,FALSE)</f>
        <v>99.27098359040582</v>
      </c>
      <c r="L9" s="69">
        <f>HLOOKUP($A9,'Single Family'!$C$6:$N$79,L$5,FALSE)</f>
        <v>33.034620240802909</v>
      </c>
      <c r="M9" s="70"/>
      <c r="N9" s="70">
        <f t="shared" si="0"/>
        <v>557.07622665772078</v>
      </c>
      <c r="P9" s="62"/>
    </row>
    <row r="10" spans="1:16" x14ac:dyDescent="0.2">
      <c r="A10" s="59">
        <f t="shared" si="1"/>
        <v>41882</v>
      </c>
      <c r="B10" s="60"/>
      <c r="C10" s="65">
        <f>HLOOKUP($A10,'Single Family'!$C$6:$N$79,C$5,FALSE)</f>
        <v>4.3547169328446502</v>
      </c>
      <c r="D10" s="69">
        <f>HLOOKUP($A10,'Single Family'!$C$6:$N$79,D$5,FALSE)</f>
        <v>102.65519383025789</v>
      </c>
      <c r="E10" s="69">
        <f>HLOOKUP($A10,'Single Family'!$C$6:$N$79,E$5,FALSE)</f>
        <v>0</v>
      </c>
      <c r="F10" s="65">
        <f>HLOOKUP($A10,'Single Family'!$C$6:$N$79,F$5,FALSE)</f>
        <v>9.5803772522582307</v>
      </c>
      <c r="G10" s="65">
        <f>HLOOKUP($A10,'Single Family'!$C$6:$N$79,G$5,FALSE)</f>
        <v>113.2226402539609</v>
      </c>
      <c r="H10" s="65">
        <f>HLOOKUP($A10,'Single Family'!$C$6:$N$79,H$5,FALSE)</f>
        <v>186.84638786525437</v>
      </c>
      <c r="I10" s="65">
        <f>HLOOKUP($A10,'Single Family'!$C$6:$N$79,I$5,FALSE)/2</f>
        <v>13.035119352314986</v>
      </c>
      <c r="J10" s="65">
        <f>HLOOKUP($A10,'Single Family'!$C$6:$N$79,J$5,FALSE)/2</f>
        <v>13.035119352314986</v>
      </c>
      <c r="K10" s="65">
        <f>HLOOKUP($A10,'Single Family'!$C$6:$N$79,K$5,FALSE)</f>
        <v>103.46807432438888</v>
      </c>
      <c r="L10" s="69">
        <f>HLOOKUP($A10,'Single Family'!$C$6:$N$79,L$5,FALSE)</f>
        <v>34.431295215691776</v>
      </c>
      <c r="M10" s="70"/>
      <c r="N10" s="70">
        <f t="shared" si="0"/>
        <v>580.62892437928667</v>
      </c>
      <c r="P10" s="62"/>
    </row>
    <row r="11" spans="1:16" x14ac:dyDescent="0.2">
      <c r="A11" s="59">
        <f t="shared" si="1"/>
        <v>41912</v>
      </c>
      <c r="B11" s="60"/>
      <c r="C11" s="65">
        <f>HLOOKUP($A11,'Single Family'!$C$6:$N$79,C$5,FALSE)</f>
        <v>4.7524934824801068</v>
      </c>
      <c r="D11" s="69">
        <f>HLOOKUP($A11,'Single Family'!$C$6:$N$79,D$5,FALSE)</f>
        <v>112.03211302699772</v>
      </c>
      <c r="E11" s="69">
        <f>HLOOKUP($A11,'Single Family'!$C$6:$N$79,E$5,FALSE)</f>
        <v>0</v>
      </c>
      <c r="F11" s="65">
        <f>HLOOKUP($A11,'Single Family'!$C$6:$N$79,F$5,FALSE)</f>
        <v>10.455485661456235</v>
      </c>
      <c r="G11" s="65">
        <f>HLOOKUP($A11,'Single Family'!$C$6:$N$79,G$5,FALSE)</f>
        <v>123.56483054448277</v>
      </c>
      <c r="H11" s="65">
        <f>HLOOKUP($A11,'Single Family'!$C$6:$N$79,H$5,FALSE)</f>
        <v>203.91365368827968</v>
      </c>
      <c r="I11" s="65">
        <f>HLOOKUP($A11,'Single Family'!$C$6:$N$79,I$5,FALSE)/2</f>
        <v>14.225797157557121</v>
      </c>
      <c r="J11" s="65">
        <f>HLOOKUP($A11,'Single Family'!$C$6:$N$79,J$5,FALSE)/2</f>
        <v>14.225797157557121</v>
      </c>
      <c r="K11" s="65">
        <f>HLOOKUP($A11,'Single Family'!$C$6:$N$79,K$5,FALSE)</f>
        <v>112.91924514372734</v>
      </c>
      <c r="L11" s="69">
        <f>HLOOKUP($A11,'Single Family'!$C$6:$N$79,L$5,FALSE)</f>
        <v>37.576381801476124</v>
      </c>
      <c r="M11" s="70"/>
      <c r="N11" s="70">
        <f t="shared" si="0"/>
        <v>633.66579766401424</v>
      </c>
      <c r="P11" s="62"/>
    </row>
    <row r="12" spans="1:16" x14ac:dyDescent="0.2">
      <c r="A12" s="59">
        <f t="shared" si="1"/>
        <v>41943</v>
      </c>
      <c r="B12" s="60"/>
      <c r="C12" s="65">
        <f>HLOOKUP($A12,'Single Family'!$C$6:$N$79,C$5,FALSE)</f>
        <v>4.4639509973077702</v>
      </c>
      <c r="D12" s="69">
        <f>HLOOKUP($A12,'Single Family'!$C$6:$N$79,D$5,FALSE)</f>
        <v>105.23020484320185</v>
      </c>
      <c r="E12" s="69">
        <f>HLOOKUP($A12,'Single Family'!$C$6:$N$79,E$5,FALSE)</f>
        <v>0</v>
      </c>
      <c r="F12" s="65">
        <f>HLOOKUP($A12,'Single Family'!$C$6:$N$79,F$5,FALSE)</f>
        <v>9.820692194077095</v>
      </c>
      <c r="G12" s="65">
        <f>HLOOKUP($A12,'Single Family'!$C$6:$N$79,G$5,FALSE)</f>
        <v>116.06272593000203</v>
      </c>
      <c r="H12" s="65">
        <f>HLOOKUP($A12,'Single Family'!$C$6:$N$79,H$5,FALSE)</f>
        <v>191.53325745781865</v>
      </c>
      <c r="I12" s="65">
        <f>HLOOKUP($A12,'Single Family'!$C$6:$N$79,I$5,FALSE)/2</f>
        <v>13.362093318607926</v>
      </c>
      <c r="J12" s="65">
        <f>HLOOKUP($A12,'Single Family'!$C$6:$N$79,J$5,FALSE)/2</f>
        <v>13.362093318607926</v>
      </c>
      <c r="K12" s="65">
        <f>HLOOKUP($A12,'Single Family'!$C$6:$N$79,K$5,FALSE)</f>
        <v>106.06347569603261</v>
      </c>
      <c r="L12" s="69">
        <f>HLOOKUP($A12,'Single Family'!$C$6:$N$79,L$5,FALSE)</f>
        <v>35.29497255204685</v>
      </c>
      <c r="M12" s="70"/>
      <c r="N12" s="70">
        <f t="shared" si="0"/>
        <v>595.19346630770269</v>
      </c>
      <c r="P12" s="62"/>
    </row>
    <row r="13" spans="1:16" x14ac:dyDescent="0.2">
      <c r="A13" s="59">
        <f t="shared" si="1"/>
        <v>41973</v>
      </c>
      <c r="B13" s="60"/>
      <c r="C13" s="65">
        <f>HLOOKUP($A13,'Single Family'!$C$6:$N$79,C$5,FALSE)</f>
        <v>3.667723756392431</v>
      </c>
      <c r="D13" s="69">
        <f>HLOOKUP($A13,'Single Family'!$C$6:$N$79,D$5,FALSE)</f>
        <v>86.460474684024248</v>
      </c>
      <c r="E13" s="69">
        <f>HLOOKUP($A13,'Single Family'!$C$6:$N$79,E$5,FALSE)</f>
        <v>0</v>
      </c>
      <c r="F13" s="65">
        <f>HLOOKUP($A13,'Single Family'!$C$6:$N$79,F$5,FALSE)</f>
        <v>8.0689922640633487</v>
      </c>
      <c r="G13" s="65">
        <f>HLOOKUP($A13,'Single Family'!$C$6:$N$79,G$5,FALSE)</f>
        <v>95.360817666203218</v>
      </c>
      <c r="H13" s="65">
        <f>HLOOKUP($A13,'Single Family'!$C$6:$N$79,H$5,FALSE)</f>
        <v>157.36980064094445</v>
      </c>
      <c r="I13" s="65">
        <f>HLOOKUP($A13,'Single Family'!$C$6:$N$79,I$5,FALSE)/2</f>
        <v>10.978719777468012</v>
      </c>
      <c r="J13" s="65">
        <f>HLOOKUP($A13,'Single Family'!$C$6:$N$79,J$5,FALSE)/2</f>
        <v>10.978719777468012</v>
      </c>
      <c r="K13" s="65">
        <f>HLOOKUP($A13,'Single Family'!$C$6:$N$79,K$5,FALSE)</f>
        <v>87.145116451884164</v>
      </c>
      <c r="L13" s="69">
        <f>HLOOKUP($A13,'Single Family'!$C$6:$N$79,L$5,FALSE)</f>
        <v>28.999469167209551</v>
      </c>
      <c r="M13" s="70"/>
      <c r="N13" s="70">
        <f t="shared" si="0"/>
        <v>489.02983418565748</v>
      </c>
      <c r="P13" s="62"/>
    </row>
    <row r="14" spans="1:16" x14ac:dyDescent="0.2">
      <c r="A14" s="59">
        <f t="shared" si="1"/>
        <v>42004</v>
      </c>
      <c r="B14" s="60"/>
      <c r="C14" s="65">
        <f>HLOOKUP($A14,'Single Family'!$C$6:$N$79,C$5,FALSE)</f>
        <v>4.4615293882245473</v>
      </c>
      <c r="D14" s="69">
        <f>HLOOKUP($A14,'Single Family'!$C$6:$N$79,D$5,FALSE)</f>
        <v>105.17311944508</v>
      </c>
      <c r="E14" s="69">
        <f>HLOOKUP($A14,'Single Family'!$C$6:$N$79,E$5,FALSE)</f>
        <v>0</v>
      </c>
      <c r="F14" s="65">
        <f>HLOOKUP($A14,'Single Family'!$C$6:$N$79,F$5,FALSE)</f>
        <v>9.8153646540940045</v>
      </c>
      <c r="G14" s="65">
        <f>HLOOKUP($A14,'Single Family'!$C$6:$N$79,G$5,FALSE)</f>
        <v>115.99976409383824</v>
      </c>
      <c r="H14" s="65">
        <f>HLOOKUP($A14,'Single Family'!$C$6:$N$79,H$5,FALSE)</f>
        <v>191.42935428408782</v>
      </c>
      <c r="I14" s="65">
        <f>HLOOKUP($A14,'Single Family'!$C$6:$N$79,I$5,FALSE)/2</f>
        <v>13.354844635418813</v>
      </c>
      <c r="J14" s="65">
        <f>HLOOKUP($A14,'Single Family'!$C$6:$N$79,J$5,FALSE)/2</f>
        <v>13.354844635418813</v>
      </c>
      <c r="K14" s="65">
        <f>HLOOKUP($A14,'Single Family'!$C$6:$N$79,K$5,FALSE)</f>
        <v>106.00593826421525</v>
      </c>
      <c r="L14" s="69">
        <f>HLOOKUP($A14,'Single Family'!$C$6:$N$79,L$5,FALSE)</f>
        <v>35.275825696228829</v>
      </c>
      <c r="M14" s="70"/>
      <c r="N14" s="70">
        <f t="shared" si="0"/>
        <v>594.87058509660631</v>
      </c>
      <c r="P14" s="62"/>
    </row>
    <row r="15" spans="1:16" x14ac:dyDescent="0.2">
      <c r="A15" s="59">
        <f t="shared" si="1"/>
        <v>42035</v>
      </c>
      <c r="B15" s="60"/>
      <c r="C15" s="65">
        <f>HLOOKUP($A15,'Single Family'!$C$6:$N$79,C$5,FALSE)</f>
        <v>4.7526489433308221</v>
      </c>
      <c r="D15" s="69">
        <f>HLOOKUP($A15,'Single Family'!$C$6:$N$79,D$5,FALSE)</f>
        <v>112.03577775745192</v>
      </c>
      <c r="E15" s="69">
        <f>HLOOKUP($A15,'Single Family'!$C$6:$N$79,E$5,FALSE)</f>
        <v>0</v>
      </c>
      <c r="F15" s="65">
        <f>HLOOKUP($A15,'Single Family'!$C$6:$N$79,F$5,FALSE)</f>
        <v>10.455827675327809</v>
      </c>
      <c r="G15" s="65">
        <f>HLOOKUP($A15,'Single Family'!$C$6:$N$79,G$5,FALSE)</f>
        <v>123.56887252660138</v>
      </c>
      <c r="H15" s="65">
        <f>HLOOKUP($A15,'Single Family'!$C$6:$N$79,H$5,FALSE)</f>
        <v>203.92032399518109</v>
      </c>
      <c r="I15" s="65">
        <f>HLOOKUP($A15,'Single Family'!$C$6:$N$79,I$5,FALSE)/2</f>
        <v>14.226262503703595</v>
      </c>
      <c r="J15" s="65">
        <f>HLOOKUP($A15,'Single Family'!$C$6:$N$79,J$5,FALSE)/2</f>
        <v>14.226262503703595</v>
      </c>
      <c r="K15" s="65">
        <f>HLOOKUP($A15,'Single Family'!$C$6:$N$79,K$5,FALSE)</f>
        <v>112.92293889354033</v>
      </c>
      <c r="L15" s="69">
        <f>HLOOKUP($A15,'Single Family'!$C$6:$N$79,L$5,FALSE)</f>
        <v>37.577610978602451</v>
      </c>
      <c r="M15" s="70"/>
      <c r="N15" s="70">
        <f t="shared" si="0"/>
        <v>633.68652577744297</v>
      </c>
      <c r="P15" s="62"/>
    </row>
    <row r="16" spans="1:16" x14ac:dyDescent="0.2">
      <c r="A16" s="59">
        <f t="shared" si="1"/>
        <v>42063</v>
      </c>
      <c r="B16" s="60"/>
      <c r="C16" s="65">
        <f>HLOOKUP($A16,'Single Family'!$C$6:$N$79,C$5,FALSE)</f>
        <v>3.6547693786683548</v>
      </c>
      <c r="D16" s="69">
        <f>HLOOKUP($A16,'Single Family'!$C$6:$N$79,D$5,FALSE)</f>
        <v>86.155096819808691</v>
      </c>
      <c r="E16" s="69">
        <f>HLOOKUP($A16,'Single Family'!$C$6:$N$79,E$5,FALSE)</f>
        <v>0</v>
      </c>
      <c r="F16" s="65">
        <f>HLOOKUP($A16,'Single Family'!$C$6:$N$79,F$5,FALSE)</f>
        <v>8.0404926330703805</v>
      </c>
      <c r="G16" s="65">
        <f>HLOOKUP($A16,'Single Family'!$C$6:$N$79,G$5,FALSE)</f>
        <v>95.024003845377237</v>
      </c>
      <c r="H16" s="65">
        <f>HLOOKUP($A16,'Single Family'!$C$6:$N$79,H$5,FALSE)</f>
        <v>156.81397147406346</v>
      </c>
      <c r="I16" s="65">
        <f>HLOOKUP($A16,'Single Family'!$C$6:$N$79,I$5,FALSE)/2</f>
        <v>10.939943006813943</v>
      </c>
      <c r="J16" s="65">
        <f>HLOOKUP($A16,'Single Family'!$C$6:$N$79,J$5,FALSE)/2</f>
        <v>10.939943006813943</v>
      </c>
      <c r="K16" s="65">
        <f>HLOOKUP($A16,'Single Family'!$C$6:$N$79,K$5,FALSE)</f>
        <v>86.837320437160116</v>
      </c>
      <c r="L16" s="69">
        <f>HLOOKUP($A16,'Single Family'!$C$6:$N$79,L$5,FALSE)</f>
        <v>28.89704322067119</v>
      </c>
      <c r="M16" s="70"/>
      <c r="N16" s="70">
        <f t="shared" si="0"/>
        <v>487.30258382244733</v>
      </c>
      <c r="P16" s="62"/>
    </row>
    <row r="17" spans="1:16" x14ac:dyDescent="0.2">
      <c r="A17" s="59">
        <f t="shared" si="1"/>
        <v>42094</v>
      </c>
      <c r="B17" s="60"/>
      <c r="C17" s="65">
        <f>HLOOKUP($A17,'Single Family'!$C$6:$N$79,C$5,FALSE)</f>
        <v>4.1569573512647739</v>
      </c>
      <c r="D17" s="69">
        <f>HLOOKUP($A17,'Single Family'!$C$6:$N$79,D$5,FALSE)</f>
        <v>97.99334129381495</v>
      </c>
      <c r="E17" s="69">
        <f>HLOOKUP($A17,'Single Family'!$C$6:$N$79,E$5,FALSE)</f>
        <v>0</v>
      </c>
      <c r="F17" s="65">
        <f>HLOOKUP($A17,'Single Family'!$C$6:$N$79,F$5,FALSE)</f>
        <v>9.1453061727825045</v>
      </c>
      <c r="G17" s="65">
        <f>HLOOKUP($A17,'Single Family'!$C$6:$N$79,G$5,FALSE)</f>
        <v>108.08089113288413</v>
      </c>
      <c r="H17" s="65">
        <f>HLOOKUP($A17,'Single Family'!$C$6:$N$79,H$5,FALSE)</f>
        <v>178.36118341826716</v>
      </c>
      <c r="I17" s="65">
        <f>HLOOKUP($A17,'Single Family'!$C$6:$N$79,I$5,FALSE)/2</f>
        <v>12.443159004785892</v>
      </c>
      <c r="J17" s="65">
        <f>HLOOKUP($A17,'Single Family'!$C$6:$N$79,J$5,FALSE)/2</f>
        <v>12.443159004785892</v>
      </c>
      <c r="K17" s="65">
        <f>HLOOKUP($A17,'Single Family'!$C$6:$N$79,K$5,FALSE)</f>
        <v>98.769306666051037</v>
      </c>
      <c r="L17" s="69">
        <f>HLOOKUP($A17,'Single Family'!$C$6:$N$79,L$5,FALSE)</f>
        <v>32.867676124000219</v>
      </c>
      <c r="M17" s="70"/>
      <c r="N17" s="70">
        <f t="shared" si="0"/>
        <v>554.26098016863659</v>
      </c>
      <c r="P17" s="62"/>
    </row>
    <row r="18" spans="1:16" x14ac:dyDescent="0.2">
      <c r="A18" s="59">
        <f t="shared" si="1"/>
        <v>42124</v>
      </c>
      <c r="B18" s="60"/>
      <c r="C18" s="65">
        <f>HLOOKUP($A18,'Single Family'!$C$6:$N$79,C$5,FALSE)</f>
        <v>4.3518751467771919</v>
      </c>
      <c r="D18" s="69">
        <f>HLOOKUP($A18,'Single Family'!$C$6:$N$79,D$5,FALSE)</f>
        <v>102.58820346002767</v>
      </c>
      <c r="E18" s="69">
        <f>HLOOKUP($A18,'Single Family'!$C$6:$N$79,E$5,FALSE)</f>
        <v>0</v>
      </c>
      <c r="F18" s="65">
        <f>HLOOKUP($A18,'Single Family'!$C$6:$N$79,F$5,FALSE)</f>
        <v>9.574125322909822</v>
      </c>
      <c r="G18" s="65">
        <f>HLOOKUP($A18,'Single Family'!$C$6:$N$79,G$5,FALSE)</f>
        <v>113.14875381620699</v>
      </c>
      <c r="H18" s="65">
        <f>HLOOKUP($A18,'Single Family'!$C$6:$N$79,H$5,FALSE)</f>
        <v>186.72445629771994</v>
      </c>
      <c r="I18" s="65">
        <f>HLOOKUP($A18,'Single Family'!$C$6:$N$79,I$5,FALSE)/2</f>
        <v>13.026612939353061</v>
      </c>
      <c r="J18" s="65">
        <f>HLOOKUP($A18,'Single Family'!$C$6:$N$79,J$5,FALSE)/2</f>
        <v>13.026612939353061</v>
      </c>
      <c r="K18" s="65">
        <f>HLOOKUP($A18,'Single Family'!$C$6:$N$79,K$5,FALSE)</f>
        <v>103.40055348742608</v>
      </c>
      <c r="L18" s="69">
        <f>HLOOKUP($A18,'Single Family'!$C$6:$N$79,L$5,FALSE)</f>
        <v>34.408826160518409</v>
      </c>
      <c r="M18" s="70"/>
      <c r="N18" s="70">
        <f t="shared" si="0"/>
        <v>580.25001957029224</v>
      </c>
      <c r="P18" s="62"/>
    </row>
    <row r="19" spans="1:16" ht="13.5" customHeight="1" x14ac:dyDescent="0.2">
      <c r="A19" s="59"/>
      <c r="B19" s="60"/>
      <c r="C19" s="70"/>
      <c r="D19" s="70"/>
      <c r="E19" s="70"/>
      <c r="F19" s="70"/>
      <c r="G19" s="70"/>
      <c r="H19" s="70"/>
      <c r="I19" s="70"/>
      <c r="J19" s="70"/>
      <c r="K19" s="70"/>
      <c r="L19" s="70"/>
      <c r="M19" s="70"/>
      <c r="N19" s="70"/>
      <c r="O19" t="s">
        <v>32</v>
      </c>
    </row>
    <row r="20" spans="1:16" x14ac:dyDescent="0.2">
      <c r="A20" s="63" t="s">
        <v>33</v>
      </c>
      <c r="B20" s="60"/>
      <c r="C20" s="77">
        <f t="shared" ref="C20:J20" si="2">SUM(C7:C19)</f>
        <v>51.842178560767124</v>
      </c>
      <c r="D20" s="77">
        <f t="shared" si="2"/>
        <v>1222.0929559391507</v>
      </c>
      <c r="E20" s="77">
        <f t="shared" si="2"/>
        <v>0</v>
      </c>
      <c r="F20" s="77">
        <f t="shared" si="2"/>
        <v>114.05279283368773</v>
      </c>
      <c r="G20" s="77">
        <f t="shared" si="2"/>
        <v>1347.8966425799456</v>
      </c>
      <c r="H20" s="77">
        <f t="shared" si="2"/>
        <v>2224.375074780648</v>
      </c>
      <c r="I20" s="77">
        <f t="shared" si="2"/>
        <v>155.18092115856297</v>
      </c>
      <c r="J20" s="77">
        <f t="shared" si="2"/>
        <v>155.18092115856297</v>
      </c>
      <c r="K20" s="77">
        <f>SUM(K7:K19)</f>
        <v>1231.7701626038272</v>
      </c>
      <c r="L20" s="77">
        <f>SUM(L7:L19)</f>
        <v>409.89882515379975</v>
      </c>
      <c r="M20" s="70"/>
      <c r="N20" s="77">
        <f>SUM(N7:N18)</f>
        <v>6912.2904747689527</v>
      </c>
      <c r="O20" s="61">
        <f>N20/15</f>
        <v>460.81936498459686</v>
      </c>
    </row>
    <row r="21" spans="1:16" x14ac:dyDescent="0.2">
      <c r="A21" s="59"/>
      <c r="B21" s="60"/>
      <c r="C21" s="60"/>
      <c r="D21" s="60"/>
      <c r="E21" s="60"/>
      <c r="F21" s="60"/>
      <c r="G21" s="60"/>
      <c r="H21" s="60"/>
      <c r="I21" s="60"/>
      <c r="J21" s="60"/>
      <c r="K21" s="60"/>
      <c r="L21" s="60"/>
      <c r="M21" s="60"/>
      <c r="N21" s="61" t="str">
        <f>IF(N20&lt;&gt;SUM('Single Family'!$C$66:$N$66),"ERROR","")</f>
        <v/>
      </c>
    </row>
    <row r="22" spans="1:16" x14ac:dyDescent="0.2">
      <c r="A22" s="60"/>
      <c r="B22" s="60"/>
      <c r="C22" s="60"/>
      <c r="D22" s="60"/>
      <c r="E22" s="60"/>
      <c r="F22" s="60"/>
      <c r="G22" s="60"/>
      <c r="H22" s="60"/>
      <c r="I22" s="60"/>
      <c r="J22" s="60"/>
      <c r="K22" s="60"/>
      <c r="L22" s="60"/>
      <c r="M22" s="61"/>
    </row>
    <row r="23" spans="1:16" x14ac:dyDescent="0.2">
      <c r="A23" s="60"/>
      <c r="B23" s="60"/>
      <c r="C23" s="60"/>
      <c r="D23" s="60"/>
      <c r="E23" s="60"/>
      <c r="F23" s="60"/>
      <c r="G23" s="60"/>
      <c r="H23" s="60"/>
      <c r="I23" s="60"/>
      <c r="J23" s="60"/>
      <c r="K23" s="60"/>
      <c r="L23" s="60"/>
      <c r="M23" s="61"/>
    </row>
    <row r="24" spans="1:16" x14ac:dyDescent="0.2">
      <c r="A24" s="60"/>
      <c r="B24" s="60"/>
      <c r="C24" s="60"/>
      <c r="D24" s="60"/>
      <c r="E24" s="60"/>
      <c r="F24" s="60"/>
      <c r="G24" s="60"/>
      <c r="H24" s="60"/>
      <c r="I24" s="60"/>
      <c r="J24" s="60"/>
      <c r="K24" s="60"/>
      <c r="L24" s="60"/>
      <c r="M24" s="61"/>
    </row>
    <row r="25" spans="1:16" x14ac:dyDescent="0.2">
      <c r="A25" s="60"/>
      <c r="B25" s="60"/>
      <c r="C25" s="60"/>
      <c r="D25" s="60"/>
      <c r="E25" s="60"/>
      <c r="F25" s="60"/>
      <c r="G25" s="60"/>
      <c r="H25" s="60"/>
      <c r="I25" s="60"/>
      <c r="J25" s="60"/>
      <c r="K25" s="60"/>
      <c r="L25" s="60"/>
      <c r="M25" s="60"/>
    </row>
    <row r="26" spans="1:16" x14ac:dyDescent="0.2">
      <c r="A26" s="60"/>
      <c r="B26" s="60"/>
      <c r="C26" s="60"/>
      <c r="D26" s="60"/>
      <c r="E26" s="60"/>
      <c r="F26" s="60"/>
      <c r="G26" s="60"/>
      <c r="H26" s="60"/>
      <c r="I26" s="60"/>
      <c r="J26" s="60"/>
      <c r="K26" s="60"/>
      <c r="L26" s="60"/>
      <c r="M26" s="60"/>
    </row>
    <row r="27" spans="1:16" x14ac:dyDescent="0.2">
      <c r="A27" s="60"/>
      <c r="B27" s="60"/>
      <c r="C27" s="60"/>
      <c r="D27" s="60"/>
      <c r="E27" s="60"/>
      <c r="F27" s="60"/>
      <c r="G27" s="60"/>
      <c r="H27" s="60"/>
      <c r="I27" s="60"/>
      <c r="J27" s="60"/>
      <c r="K27" s="60"/>
      <c r="L27" s="60"/>
      <c r="M27" s="60"/>
    </row>
    <row r="28" spans="1:16" x14ac:dyDescent="0.2">
      <c r="A28" s="60"/>
      <c r="B28" s="60"/>
      <c r="C28" s="60"/>
      <c r="D28" s="60"/>
      <c r="E28" s="60"/>
      <c r="F28" s="60"/>
      <c r="G28" s="60"/>
      <c r="H28" s="60"/>
      <c r="I28" s="60"/>
      <c r="J28" s="60"/>
      <c r="K28" s="60"/>
      <c r="L28" s="60"/>
      <c r="M28" s="60"/>
    </row>
    <row r="29" spans="1:16" x14ac:dyDescent="0.2">
      <c r="A29" s="60"/>
      <c r="B29" s="60"/>
      <c r="C29" s="60"/>
      <c r="D29" s="60"/>
      <c r="E29" s="60"/>
      <c r="F29" s="60"/>
      <c r="G29" s="60"/>
      <c r="H29" s="60"/>
      <c r="I29" s="60"/>
      <c r="J29" s="60"/>
      <c r="K29" s="60"/>
      <c r="L29" s="60"/>
      <c r="M29" s="60"/>
    </row>
    <row r="30" spans="1:16" x14ac:dyDescent="0.2">
      <c r="A30" s="60"/>
      <c r="B30" s="60"/>
      <c r="C30" s="60"/>
      <c r="D30" s="60"/>
      <c r="E30" s="60"/>
      <c r="F30" s="60"/>
      <c r="G30" s="60"/>
      <c r="H30" s="60"/>
      <c r="I30" s="60"/>
      <c r="J30" s="60"/>
      <c r="K30" s="60"/>
      <c r="L30" s="60"/>
      <c r="M30" s="60"/>
    </row>
    <row r="31" spans="1:16" x14ac:dyDescent="0.2">
      <c r="A31" s="60"/>
      <c r="B31" s="60"/>
      <c r="C31" s="60"/>
      <c r="D31" s="60"/>
      <c r="E31" s="60"/>
      <c r="F31" s="60"/>
      <c r="G31" s="60"/>
      <c r="H31" s="60"/>
      <c r="I31" s="60"/>
      <c r="J31" s="60"/>
      <c r="K31" s="60"/>
      <c r="L31" s="60"/>
      <c r="M31" s="60"/>
    </row>
    <row r="32" spans="1:16" x14ac:dyDescent="0.2">
      <c r="A32" s="60"/>
      <c r="B32" s="60"/>
      <c r="C32" s="60"/>
      <c r="D32" s="60"/>
      <c r="E32" s="60"/>
      <c r="F32" s="60"/>
      <c r="G32" s="60"/>
      <c r="H32" s="60"/>
      <c r="I32" s="60"/>
      <c r="J32" s="60"/>
      <c r="K32" s="60"/>
      <c r="L32" s="60"/>
      <c r="M32" s="60"/>
    </row>
    <row r="33" spans="1:13" x14ac:dyDescent="0.2">
      <c r="A33" s="60"/>
      <c r="B33" s="60"/>
      <c r="C33" s="60"/>
      <c r="D33" s="60"/>
      <c r="E33" s="60"/>
      <c r="F33" s="60"/>
      <c r="G33" s="60"/>
      <c r="H33" s="60"/>
      <c r="I33" s="60"/>
      <c r="J33" s="60"/>
      <c r="K33" s="60"/>
      <c r="L33" s="60"/>
      <c r="M33" s="60"/>
    </row>
    <row r="34" spans="1:13" x14ac:dyDescent="0.2">
      <c r="A34" s="60"/>
      <c r="B34" s="60"/>
      <c r="C34" s="60"/>
      <c r="D34" s="60"/>
      <c r="E34" s="60"/>
      <c r="F34" s="60"/>
      <c r="G34" s="60"/>
      <c r="H34" s="60"/>
      <c r="I34" s="60"/>
      <c r="J34" s="60"/>
      <c r="K34" s="60"/>
      <c r="L34" s="60"/>
      <c r="M34" s="60"/>
    </row>
    <row r="35" spans="1:13" x14ac:dyDescent="0.2">
      <c r="A35" s="60"/>
      <c r="B35" s="60"/>
      <c r="C35" s="60"/>
      <c r="D35" s="60"/>
      <c r="E35" s="60"/>
      <c r="F35" s="60"/>
      <c r="G35" s="60"/>
      <c r="H35" s="60"/>
      <c r="I35" s="60"/>
      <c r="J35" s="60"/>
      <c r="K35" s="60"/>
      <c r="L35" s="60"/>
      <c r="M35" s="60"/>
    </row>
    <row r="36" spans="1:13" x14ac:dyDescent="0.2">
      <c r="A36" s="60"/>
      <c r="B36" s="60"/>
      <c r="C36" s="60"/>
      <c r="D36" s="60"/>
      <c r="E36" s="60"/>
      <c r="F36" s="60"/>
      <c r="G36" s="60"/>
      <c r="H36" s="60"/>
      <c r="I36" s="60"/>
      <c r="J36" s="60"/>
      <c r="K36" s="60"/>
      <c r="L36" s="60"/>
      <c r="M36" s="60"/>
    </row>
    <row r="37" spans="1:13" x14ac:dyDescent="0.2">
      <c r="A37" s="60"/>
      <c r="B37" s="60"/>
      <c r="C37" s="60"/>
      <c r="D37" s="60"/>
      <c r="E37" s="60"/>
      <c r="F37" s="60"/>
      <c r="G37" s="60"/>
      <c r="H37" s="60"/>
      <c r="I37" s="60"/>
      <c r="J37" s="60"/>
      <c r="K37" s="60"/>
      <c r="L37" s="60"/>
      <c r="M37" s="60"/>
    </row>
    <row r="38" spans="1:13" x14ac:dyDescent="0.2">
      <c r="A38" s="60"/>
      <c r="B38" s="60"/>
      <c r="C38" s="60"/>
      <c r="D38" s="60"/>
      <c r="E38" s="60"/>
      <c r="F38" s="60"/>
      <c r="G38" s="60"/>
      <c r="H38" s="60"/>
      <c r="I38" s="60"/>
      <c r="J38" s="60"/>
      <c r="K38" s="60"/>
      <c r="L38" s="60"/>
      <c r="M38" s="60"/>
    </row>
    <row r="39" spans="1:13" x14ac:dyDescent="0.2">
      <c r="A39" s="60"/>
      <c r="B39" s="60"/>
      <c r="C39" s="60"/>
      <c r="D39" s="60"/>
      <c r="E39" s="60"/>
      <c r="F39" s="60"/>
      <c r="G39" s="60"/>
      <c r="H39" s="60"/>
      <c r="I39" s="60"/>
      <c r="J39" s="60"/>
      <c r="K39" s="60"/>
      <c r="L39" s="60"/>
      <c r="M39" s="60"/>
    </row>
    <row r="40" spans="1:13" x14ac:dyDescent="0.2">
      <c r="A40" s="60"/>
      <c r="B40" s="60"/>
      <c r="C40" s="60"/>
      <c r="D40" s="60"/>
      <c r="E40" s="60"/>
      <c r="F40" s="60"/>
      <c r="G40" s="60"/>
      <c r="H40" s="60"/>
      <c r="I40" s="60"/>
      <c r="J40" s="60"/>
      <c r="K40" s="60"/>
      <c r="L40" s="60"/>
      <c r="M40" s="60"/>
    </row>
    <row r="41" spans="1:13" x14ac:dyDescent="0.2">
      <c r="A41" s="60"/>
      <c r="B41" s="60"/>
      <c r="C41" s="60"/>
      <c r="D41" s="60"/>
      <c r="E41" s="60"/>
      <c r="F41" s="60"/>
      <c r="G41" s="60"/>
      <c r="H41" s="60"/>
      <c r="I41" s="60"/>
      <c r="J41" s="60"/>
      <c r="K41" s="60"/>
      <c r="L41" s="60"/>
      <c r="M41" s="60"/>
    </row>
    <row r="42" spans="1:13" x14ac:dyDescent="0.2">
      <c r="A42" s="60"/>
      <c r="B42" s="60"/>
      <c r="C42" s="60"/>
      <c r="D42" s="60"/>
      <c r="E42" s="60"/>
      <c r="F42" s="60"/>
      <c r="G42" s="60"/>
      <c r="H42" s="60"/>
      <c r="I42" s="60"/>
      <c r="J42" s="60"/>
      <c r="K42" s="60"/>
      <c r="L42" s="60"/>
      <c r="M42" s="60"/>
    </row>
    <row r="43" spans="1:13" x14ac:dyDescent="0.2">
      <c r="A43" s="60"/>
      <c r="B43" s="60"/>
      <c r="C43" s="60"/>
      <c r="D43" s="60"/>
      <c r="E43" s="60"/>
      <c r="F43" s="60"/>
      <c r="G43" s="60"/>
      <c r="H43" s="60"/>
      <c r="I43" s="60"/>
      <c r="J43" s="60"/>
      <c r="K43" s="60"/>
      <c r="L43" s="60"/>
      <c r="M43" s="60"/>
    </row>
    <row r="44" spans="1:13" x14ac:dyDescent="0.2">
      <c r="A44" s="60"/>
      <c r="B44" s="60"/>
      <c r="C44" s="60"/>
      <c r="D44" s="60"/>
      <c r="E44" s="60"/>
      <c r="F44" s="60"/>
      <c r="G44" s="60"/>
      <c r="H44" s="60"/>
      <c r="I44" s="60"/>
      <c r="J44" s="60"/>
      <c r="K44" s="60"/>
      <c r="L44" s="60"/>
      <c r="M44" s="60"/>
    </row>
    <row r="45" spans="1:13" x14ac:dyDescent="0.2">
      <c r="A45" s="60"/>
      <c r="B45" s="60"/>
      <c r="C45" s="60"/>
      <c r="D45" s="60"/>
      <c r="E45" s="60"/>
      <c r="F45" s="60"/>
      <c r="G45" s="60"/>
      <c r="H45" s="60"/>
      <c r="I45" s="60"/>
      <c r="J45" s="60"/>
      <c r="K45" s="60"/>
      <c r="L45" s="60"/>
      <c r="M45" s="60"/>
    </row>
    <row r="46" spans="1:13" x14ac:dyDescent="0.2">
      <c r="A46" s="60"/>
      <c r="B46" s="60"/>
      <c r="C46" s="60"/>
      <c r="D46" s="60"/>
      <c r="E46" s="60"/>
      <c r="F46" s="60"/>
      <c r="G46" s="60"/>
      <c r="H46" s="60"/>
      <c r="I46" s="60"/>
      <c r="J46" s="60"/>
      <c r="K46" s="60"/>
      <c r="L46" s="60"/>
      <c r="M46" s="60"/>
    </row>
    <row r="47" spans="1:13" x14ac:dyDescent="0.2">
      <c r="A47" s="60"/>
      <c r="B47" s="60"/>
      <c r="C47" s="60"/>
      <c r="D47" s="60"/>
      <c r="E47" s="60"/>
      <c r="F47" s="60"/>
      <c r="G47" s="60"/>
      <c r="H47" s="60"/>
      <c r="I47" s="60"/>
      <c r="J47" s="60"/>
      <c r="K47" s="60"/>
      <c r="L47" s="60"/>
      <c r="M47" s="60"/>
    </row>
    <row r="48" spans="1:13" x14ac:dyDescent="0.2">
      <c r="A48" s="60"/>
      <c r="B48" s="60"/>
      <c r="C48" s="60"/>
      <c r="D48" s="60"/>
      <c r="E48" s="60"/>
      <c r="F48" s="60"/>
      <c r="G48" s="60"/>
      <c r="H48" s="60"/>
      <c r="I48" s="60"/>
      <c r="J48" s="60"/>
      <c r="K48" s="60"/>
      <c r="L48" s="60"/>
      <c r="M48" s="60"/>
    </row>
    <row r="49" spans="1:13" x14ac:dyDescent="0.2">
      <c r="A49" s="60"/>
      <c r="B49" s="60"/>
      <c r="C49" s="60"/>
      <c r="D49" s="60"/>
      <c r="E49" s="60"/>
      <c r="F49" s="60"/>
      <c r="G49" s="60"/>
      <c r="H49" s="60"/>
      <c r="I49" s="60"/>
      <c r="J49" s="60"/>
      <c r="K49" s="60"/>
      <c r="L49" s="60"/>
      <c r="M49" s="60"/>
    </row>
    <row r="50" spans="1:13" x14ac:dyDescent="0.2">
      <c r="A50" s="60"/>
      <c r="B50" s="60"/>
      <c r="C50" s="60"/>
      <c r="D50" s="60"/>
      <c r="E50" s="60"/>
      <c r="F50" s="60"/>
      <c r="G50" s="60"/>
      <c r="H50" s="60"/>
      <c r="I50" s="60"/>
      <c r="J50" s="60"/>
      <c r="K50" s="60"/>
      <c r="L50" s="60"/>
      <c r="M50" s="60"/>
    </row>
    <row r="51" spans="1:13" x14ac:dyDescent="0.2">
      <c r="A51" s="60"/>
      <c r="B51" s="60"/>
      <c r="C51" s="60"/>
      <c r="D51" s="60"/>
      <c r="E51" s="60"/>
      <c r="F51" s="60"/>
      <c r="G51" s="60"/>
      <c r="H51" s="60"/>
      <c r="I51" s="60"/>
      <c r="J51" s="60"/>
      <c r="K51" s="60"/>
      <c r="L51" s="60"/>
      <c r="M51" s="60"/>
    </row>
    <row r="52" spans="1:13" x14ac:dyDescent="0.2">
      <c r="A52" s="60"/>
      <c r="B52" s="60"/>
      <c r="C52" s="60"/>
      <c r="D52" s="60"/>
      <c r="E52" s="60"/>
      <c r="F52" s="60"/>
      <c r="G52" s="60"/>
      <c r="H52" s="60"/>
      <c r="I52" s="60"/>
      <c r="J52" s="60"/>
      <c r="K52" s="60"/>
      <c r="L52" s="60"/>
      <c r="M52" s="60"/>
    </row>
    <row r="53" spans="1:13" x14ac:dyDescent="0.2">
      <c r="A53" s="60"/>
      <c r="B53" s="60"/>
      <c r="C53" s="60"/>
      <c r="D53" s="60"/>
      <c r="E53" s="60"/>
      <c r="F53" s="60"/>
      <c r="G53" s="60"/>
      <c r="H53" s="60"/>
      <c r="I53" s="60"/>
      <c r="J53" s="60"/>
      <c r="K53" s="60"/>
      <c r="L53" s="60"/>
      <c r="M53" s="60"/>
    </row>
    <row r="54" spans="1:13" x14ac:dyDescent="0.2">
      <c r="A54" s="60"/>
      <c r="B54" s="60"/>
      <c r="C54" s="60"/>
      <c r="D54" s="60"/>
      <c r="E54" s="60"/>
      <c r="F54" s="60"/>
      <c r="G54" s="60"/>
      <c r="H54" s="60"/>
      <c r="I54" s="60"/>
      <c r="J54" s="60"/>
      <c r="K54" s="60"/>
      <c r="L54" s="60"/>
      <c r="M54" s="60"/>
    </row>
    <row r="55" spans="1:13" x14ac:dyDescent="0.2">
      <c r="A55" s="60"/>
      <c r="B55" s="60"/>
      <c r="C55" s="60"/>
      <c r="D55" s="60"/>
      <c r="E55" s="60"/>
      <c r="F55" s="60"/>
      <c r="G55" s="60"/>
      <c r="H55" s="60"/>
      <c r="I55" s="60"/>
      <c r="J55" s="60"/>
      <c r="K55" s="60"/>
      <c r="L55" s="60"/>
      <c r="M55" s="60"/>
    </row>
    <row r="56" spans="1:13" x14ac:dyDescent="0.2">
      <c r="A56" s="60"/>
      <c r="B56" s="60"/>
      <c r="C56" s="60"/>
      <c r="D56" s="60"/>
      <c r="E56" s="60"/>
      <c r="F56" s="60"/>
      <c r="G56" s="60"/>
      <c r="H56" s="60"/>
      <c r="I56" s="60"/>
      <c r="J56" s="60"/>
      <c r="K56" s="60"/>
      <c r="L56" s="60"/>
      <c r="M56" s="60"/>
    </row>
    <row r="57" spans="1:13" x14ac:dyDescent="0.2">
      <c r="A57" s="60"/>
      <c r="B57" s="60"/>
      <c r="C57" s="60"/>
      <c r="D57" s="60"/>
      <c r="E57" s="60"/>
      <c r="F57" s="60"/>
      <c r="G57" s="60"/>
      <c r="H57" s="60"/>
      <c r="I57" s="60"/>
      <c r="J57" s="60"/>
      <c r="K57" s="60"/>
      <c r="L57" s="60"/>
      <c r="M57" s="60"/>
    </row>
    <row r="58" spans="1:13" x14ac:dyDescent="0.2">
      <c r="A58" s="60"/>
      <c r="B58" s="60"/>
      <c r="C58" s="60"/>
      <c r="D58" s="60"/>
      <c r="E58" s="60"/>
      <c r="F58" s="60"/>
      <c r="G58" s="60"/>
      <c r="H58" s="60"/>
      <c r="I58" s="60"/>
      <c r="J58" s="60"/>
      <c r="K58" s="60"/>
      <c r="L58" s="60"/>
      <c r="M58" s="60"/>
    </row>
    <row r="59" spans="1:13" x14ac:dyDescent="0.2">
      <c r="A59" s="60"/>
      <c r="B59" s="60"/>
      <c r="C59" s="60"/>
      <c r="D59" s="60"/>
      <c r="E59" s="60"/>
      <c r="F59" s="60"/>
      <c r="G59" s="60"/>
      <c r="H59" s="60"/>
      <c r="I59" s="60"/>
      <c r="J59" s="60"/>
      <c r="K59" s="60"/>
      <c r="L59" s="60"/>
      <c r="M59" s="60"/>
    </row>
    <row r="60" spans="1:13" x14ac:dyDescent="0.2">
      <c r="A60" s="60"/>
      <c r="B60" s="60"/>
      <c r="C60" s="60"/>
      <c r="D60" s="60"/>
      <c r="E60" s="60"/>
      <c r="F60" s="60"/>
      <c r="G60" s="60"/>
      <c r="H60" s="60"/>
      <c r="I60" s="60"/>
      <c r="J60" s="60"/>
      <c r="K60" s="60"/>
      <c r="L60" s="60"/>
      <c r="M60" s="60"/>
    </row>
    <row r="61" spans="1:13" x14ac:dyDescent="0.2">
      <c r="A61" s="60"/>
      <c r="B61" s="60"/>
      <c r="C61" s="60"/>
      <c r="D61" s="60"/>
      <c r="E61" s="60"/>
      <c r="F61" s="60"/>
      <c r="G61" s="60"/>
      <c r="H61" s="60"/>
      <c r="I61" s="60"/>
      <c r="J61" s="60"/>
      <c r="K61" s="60"/>
      <c r="L61" s="60"/>
      <c r="M61" s="60"/>
    </row>
    <row r="62" spans="1:13" x14ac:dyDescent="0.2">
      <c r="A62" s="60"/>
      <c r="B62" s="60"/>
      <c r="C62" s="60"/>
      <c r="D62" s="60"/>
      <c r="E62" s="60"/>
      <c r="F62" s="60"/>
      <c r="G62" s="60"/>
      <c r="H62" s="60"/>
      <c r="I62" s="60"/>
      <c r="J62" s="60"/>
      <c r="K62" s="60"/>
      <c r="L62" s="60"/>
      <c r="M62" s="60"/>
    </row>
    <row r="63" spans="1:13" x14ac:dyDescent="0.2">
      <c r="A63" s="60"/>
      <c r="B63" s="60"/>
      <c r="C63" s="60"/>
      <c r="D63" s="60"/>
      <c r="E63" s="60"/>
      <c r="F63" s="60"/>
      <c r="G63" s="60"/>
      <c r="H63" s="60"/>
      <c r="I63" s="60"/>
      <c r="J63" s="60"/>
      <c r="K63" s="60"/>
      <c r="L63" s="60"/>
      <c r="M63" s="60"/>
    </row>
    <row r="64" spans="1:13" x14ac:dyDescent="0.2">
      <c r="A64" s="60"/>
      <c r="B64" s="60"/>
      <c r="C64" s="60"/>
      <c r="D64" s="60"/>
      <c r="E64" s="60"/>
      <c r="F64" s="60"/>
      <c r="G64" s="60"/>
      <c r="H64" s="60"/>
      <c r="I64" s="60"/>
      <c r="J64" s="60"/>
      <c r="K64" s="60"/>
      <c r="L64" s="60"/>
      <c r="M64" s="60"/>
    </row>
    <row r="65" spans="1:13" x14ac:dyDescent="0.2">
      <c r="A65" s="60"/>
      <c r="B65" s="60"/>
      <c r="C65" s="60"/>
      <c r="D65" s="60"/>
      <c r="E65" s="60"/>
      <c r="F65" s="60"/>
      <c r="G65" s="60"/>
      <c r="H65" s="60"/>
      <c r="I65" s="60"/>
      <c r="J65" s="60"/>
      <c r="K65" s="60"/>
      <c r="L65" s="60"/>
      <c r="M65" s="60"/>
    </row>
    <row r="66" spans="1:13" x14ac:dyDescent="0.2">
      <c r="A66" s="60"/>
      <c r="B66" s="60"/>
      <c r="C66" s="60"/>
      <c r="D66" s="60"/>
      <c r="E66" s="60"/>
      <c r="F66" s="60"/>
      <c r="G66" s="60"/>
      <c r="H66" s="60"/>
      <c r="I66" s="60"/>
      <c r="J66" s="60"/>
      <c r="K66" s="60"/>
      <c r="L66" s="60"/>
      <c r="M66" s="60"/>
    </row>
    <row r="67" spans="1:13" x14ac:dyDescent="0.2">
      <c r="A67" s="60"/>
      <c r="B67" s="60"/>
      <c r="C67" s="60"/>
      <c r="D67" s="60"/>
      <c r="E67" s="60"/>
      <c r="F67" s="60"/>
      <c r="G67" s="60"/>
      <c r="H67" s="60"/>
      <c r="I67" s="60"/>
      <c r="J67" s="60"/>
      <c r="K67" s="60"/>
      <c r="L67" s="60"/>
      <c r="M67" s="60"/>
    </row>
    <row r="68" spans="1:13" x14ac:dyDescent="0.2">
      <c r="A68" s="60"/>
      <c r="B68" s="60"/>
      <c r="C68" s="60"/>
      <c r="D68" s="60"/>
      <c r="E68" s="60"/>
      <c r="F68" s="60"/>
      <c r="G68" s="60"/>
      <c r="H68" s="60"/>
      <c r="I68" s="60"/>
      <c r="J68" s="60"/>
      <c r="K68" s="60"/>
      <c r="L68" s="60"/>
      <c r="M68" s="60"/>
    </row>
    <row r="69" spans="1:13" x14ac:dyDescent="0.2">
      <c r="A69" s="60"/>
      <c r="B69" s="60"/>
      <c r="C69" s="60"/>
      <c r="D69" s="60"/>
      <c r="E69" s="60"/>
      <c r="F69" s="60"/>
      <c r="G69" s="60"/>
      <c r="H69" s="60"/>
      <c r="I69" s="60"/>
      <c r="J69" s="60"/>
      <c r="K69" s="60"/>
      <c r="L69" s="60"/>
      <c r="M69" s="60"/>
    </row>
    <row r="70" spans="1:13" x14ac:dyDescent="0.2">
      <c r="A70" s="60"/>
      <c r="B70" s="60"/>
      <c r="C70" s="60"/>
      <c r="D70" s="60"/>
      <c r="E70" s="60"/>
      <c r="F70" s="60"/>
      <c r="G70" s="60"/>
      <c r="H70" s="60"/>
      <c r="I70" s="60"/>
      <c r="J70" s="60"/>
      <c r="K70" s="60"/>
      <c r="L70" s="60"/>
      <c r="M70" s="60"/>
    </row>
    <row r="71" spans="1:13" x14ac:dyDescent="0.2">
      <c r="A71" s="60"/>
      <c r="B71" s="60"/>
      <c r="C71" s="60"/>
      <c r="D71" s="60"/>
      <c r="E71" s="60"/>
      <c r="F71" s="60"/>
      <c r="G71" s="60"/>
      <c r="H71" s="60"/>
      <c r="I71" s="60"/>
      <c r="J71" s="60"/>
      <c r="K71" s="60"/>
      <c r="L71" s="60"/>
      <c r="M71" s="60"/>
    </row>
    <row r="72" spans="1:13" x14ac:dyDescent="0.2">
      <c r="A72" s="60"/>
      <c r="B72" s="60"/>
      <c r="C72" s="60"/>
      <c r="D72" s="60"/>
      <c r="E72" s="60"/>
      <c r="F72" s="60"/>
      <c r="G72" s="60"/>
      <c r="H72" s="60"/>
      <c r="I72" s="60"/>
      <c r="J72" s="60"/>
      <c r="K72" s="60"/>
      <c r="L72" s="60"/>
      <c r="M72" s="60"/>
    </row>
    <row r="73" spans="1:13" x14ac:dyDescent="0.2">
      <c r="A73" s="60"/>
      <c r="B73" s="60"/>
      <c r="C73" s="60"/>
      <c r="D73" s="60"/>
      <c r="E73" s="60"/>
      <c r="F73" s="60"/>
      <c r="G73" s="60"/>
      <c r="H73" s="60"/>
      <c r="I73" s="60"/>
      <c r="J73" s="60"/>
      <c r="K73" s="60"/>
      <c r="L73" s="60"/>
      <c r="M73" s="60"/>
    </row>
    <row r="74" spans="1:13" x14ac:dyDescent="0.2">
      <c r="A74" s="60"/>
      <c r="B74" s="60"/>
      <c r="C74" s="60"/>
      <c r="D74" s="60"/>
      <c r="E74" s="60"/>
      <c r="F74" s="60"/>
      <c r="G74" s="60"/>
      <c r="H74" s="60"/>
      <c r="I74" s="60"/>
      <c r="J74" s="60"/>
      <c r="K74" s="60"/>
      <c r="L74" s="60"/>
      <c r="M74" s="60"/>
    </row>
    <row r="75" spans="1:13" x14ac:dyDescent="0.2">
      <c r="A75" s="60"/>
      <c r="B75" s="60"/>
      <c r="C75" s="60"/>
      <c r="D75" s="60"/>
      <c r="E75" s="60"/>
      <c r="F75" s="60"/>
      <c r="G75" s="60"/>
      <c r="H75" s="60"/>
      <c r="I75" s="60"/>
      <c r="J75" s="60"/>
      <c r="K75" s="60"/>
      <c r="L75" s="60"/>
      <c r="M75" s="60"/>
    </row>
    <row r="76" spans="1:13" x14ac:dyDescent="0.2">
      <c r="A76" s="60"/>
      <c r="B76" s="60"/>
      <c r="C76" s="60"/>
      <c r="D76" s="60"/>
      <c r="E76" s="60"/>
      <c r="F76" s="60"/>
      <c r="G76" s="60"/>
      <c r="H76" s="60"/>
      <c r="I76" s="60"/>
      <c r="J76" s="60"/>
      <c r="K76" s="60"/>
      <c r="L76" s="60"/>
      <c r="M76" s="60"/>
    </row>
    <row r="77" spans="1:13" x14ac:dyDescent="0.2">
      <c r="A77" s="60"/>
      <c r="B77" s="60"/>
      <c r="C77" s="60"/>
      <c r="D77" s="60"/>
      <c r="E77" s="60"/>
      <c r="F77" s="60"/>
      <c r="G77" s="60"/>
      <c r="H77" s="60"/>
      <c r="I77" s="60"/>
      <c r="J77" s="60"/>
      <c r="K77" s="60"/>
      <c r="L77" s="60"/>
      <c r="M77" s="60"/>
    </row>
    <row r="78" spans="1:13" x14ac:dyDescent="0.2">
      <c r="A78" s="60"/>
      <c r="B78" s="60"/>
      <c r="C78" s="60"/>
      <c r="D78" s="60"/>
      <c r="E78" s="60"/>
      <c r="F78" s="60"/>
      <c r="G78" s="60"/>
      <c r="H78" s="60"/>
      <c r="I78" s="60"/>
      <c r="J78" s="60"/>
      <c r="K78" s="60"/>
      <c r="L78" s="60"/>
      <c r="M78" s="60"/>
    </row>
    <row r="79" spans="1:13" x14ac:dyDescent="0.2">
      <c r="A79" s="60"/>
      <c r="B79" s="60"/>
      <c r="C79" s="60"/>
      <c r="D79" s="60"/>
      <c r="E79" s="60"/>
      <c r="F79" s="60"/>
      <c r="G79" s="60"/>
      <c r="H79" s="60"/>
      <c r="I79" s="60"/>
      <c r="J79" s="60"/>
      <c r="K79" s="60"/>
      <c r="L79" s="60"/>
      <c r="M79" s="60"/>
    </row>
    <row r="80" spans="1:13" x14ac:dyDescent="0.2">
      <c r="A80" s="60"/>
      <c r="B80" s="60"/>
      <c r="C80" s="60"/>
      <c r="D80" s="60"/>
      <c r="E80" s="60"/>
      <c r="F80" s="60"/>
      <c r="G80" s="60"/>
      <c r="H80" s="60"/>
      <c r="I80" s="60"/>
      <c r="J80" s="60"/>
      <c r="K80" s="60"/>
      <c r="L80" s="60"/>
      <c r="M80" s="60"/>
    </row>
    <row r="81" spans="1:13" x14ac:dyDescent="0.2">
      <c r="A81" s="60"/>
      <c r="B81" s="60"/>
      <c r="C81" s="60"/>
      <c r="D81" s="60"/>
      <c r="E81" s="60"/>
      <c r="F81" s="60"/>
      <c r="G81" s="60"/>
      <c r="H81" s="60"/>
      <c r="I81" s="60"/>
      <c r="J81" s="60"/>
      <c r="K81" s="60"/>
      <c r="L81" s="60"/>
      <c r="M81" s="60"/>
    </row>
    <row r="82" spans="1:13" x14ac:dyDescent="0.2">
      <c r="A82" s="60"/>
      <c r="B82" s="60"/>
      <c r="C82" s="60"/>
      <c r="D82" s="60"/>
      <c r="E82" s="60"/>
      <c r="F82" s="60"/>
      <c r="G82" s="60"/>
      <c r="H82" s="60"/>
      <c r="I82" s="60"/>
      <c r="J82" s="60"/>
      <c r="K82" s="60"/>
      <c r="L82" s="60"/>
      <c r="M82" s="60"/>
    </row>
    <row r="83" spans="1:13" x14ac:dyDescent="0.2">
      <c r="A83" s="60"/>
      <c r="B83" s="60"/>
      <c r="C83" s="60"/>
      <c r="D83" s="60"/>
      <c r="E83" s="60"/>
      <c r="F83" s="60"/>
      <c r="G83" s="60"/>
      <c r="H83" s="60"/>
      <c r="I83" s="60"/>
      <c r="J83" s="60"/>
      <c r="K83" s="60"/>
      <c r="L83" s="60"/>
      <c r="M83" s="60"/>
    </row>
    <row r="84" spans="1:13" x14ac:dyDescent="0.2">
      <c r="A84" s="60"/>
      <c r="B84" s="60"/>
      <c r="C84" s="60"/>
      <c r="D84" s="60"/>
      <c r="E84" s="60"/>
      <c r="F84" s="60"/>
      <c r="G84" s="60"/>
      <c r="H84" s="60"/>
      <c r="I84" s="60"/>
      <c r="J84" s="60"/>
      <c r="K84" s="60"/>
      <c r="L84" s="60"/>
      <c r="M84" s="60"/>
    </row>
    <row r="85" spans="1:13" x14ac:dyDescent="0.2">
      <c r="A85" s="60"/>
      <c r="B85" s="60"/>
      <c r="C85" s="60"/>
      <c r="D85" s="60"/>
      <c r="E85" s="60"/>
      <c r="F85" s="60"/>
      <c r="G85" s="60"/>
      <c r="H85" s="60"/>
      <c r="I85" s="60"/>
      <c r="J85" s="60"/>
      <c r="K85" s="60"/>
      <c r="L85" s="60"/>
      <c r="M85" s="60"/>
    </row>
    <row r="86" spans="1:13" x14ac:dyDescent="0.2">
      <c r="A86" s="60"/>
      <c r="B86" s="60"/>
      <c r="C86" s="60"/>
      <c r="D86" s="60"/>
      <c r="E86" s="60"/>
      <c r="F86" s="60"/>
      <c r="G86" s="60"/>
      <c r="H86" s="60"/>
      <c r="I86" s="60"/>
      <c r="J86" s="60"/>
      <c r="K86" s="60"/>
      <c r="L86" s="60"/>
      <c r="M86" s="60"/>
    </row>
    <row r="87" spans="1:13" x14ac:dyDescent="0.2">
      <c r="A87" s="60"/>
      <c r="B87" s="60"/>
      <c r="C87" s="60"/>
      <c r="D87" s="60"/>
      <c r="E87" s="60"/>
      <c r="F87" s="60"/>
      <c r="G87" s="60"/>
      <c r="H87" s="60"/>
      <c r="I87" s="60"/>
      <c r="J87" s="60"/>
      <c r="K87" s="60"/>
      <c r="L87" s="60"/>
      <c r="M87" s="60"/>
    </row>
    <row r="88" spans="1:13" x14ac:dyDescent="0.2">
      <c r="A88" s="60"/>
      <c r="B88" s="60"/>
      <c r="C88" s="60"/>
      <c r="D88" s="60"/>
      <c r="E88" s="60"/>
      <c r="F88" s="60"/>
      <c r="G88" s="60"/>
      <c r="H88" s="60"/>
      <c r="I88" s="60"/>
      <c r="J88" s="60"/>
      <c r="K88" s="60"/>
      <c r="L88" s="60"/>
      <c r="M88" s="60"/>
    </row>
    <row r="89" spans="1:13" x14ac:dyDescent="0.2">
      <c r="A89" s="60"/>
      <c r="B89" s="60"/>
      <c r="C89" s="60"/>
      <c r="D89" s="60"/>
      <c r="E89" s="60"/>
      <c r="F89" s="60"/>
      <c r="G89" s="60"/>
      <c r="H89" s="60"/>
      <c r="I89" s="60"/>
      <c r="J89" s="60"/>
      <c r="K89" s="60"/>
      <c r="L89" s="60"/>
      <c r="M89" s="60"/>
    </row>
    <row r="90" spans="1:13" x14ac:dyDescent="0.2">
      <c r="A90" s="60"/>
      <c r="B90" s="60"/>
      <c r="C90" s="60"/>
      <c r="D90" s="60"/>
      <c r="E90" s="60"/>
      <c r="F90" s="60"/>
      <c r="G90" s="60"/>
      <c r="H90" s="60"/>
      <c r="I90" s="60"/>
      <c r="J90" s="60"/>
      <c r="K90" s="60"/>
      <c r="L90" s="60"/>
      <c r="M90" s="60"/>
    </row>
    <row r="91" spans="1:13" x14ac:dyDescent="0.2">
      <c r="A91" s="60"/>
      <c r="B91" s="60"/>
      <c r="C91" s="60"/>
      <c r="D91" s="60"/>
      <c r="E91" s="60"/>
      <c r="F91" s="60"/>
      <c r="G91" s="60"/>
      <c r="H91" s="60"/>
      <c r="I91" s="60"/>
      <c r="J91" s="60"/>
      <c r="K91" s="60"/>
      <c r="L91" s="60"/>
      <c r="M91" s="60"/>
    </row>
    <row r="92" spans="1:13" x14ac:dyDescent="0.2">
      <c r="A92" s="60"/>
      <c r="B92" s="60"/>
      <c r="C92" s="60"/>
      <c r="D92" s="60"/>
      <c r="E92" s="60"/>
      <c r="F92" s="60"/>
      <c r="G92" s="60"/>
      <c r="H92" s="60"/>
      <c r="I92" s="60"/>
      <c r="J92" s="60"/>
      <c r="K92" s="60"/>
      <c r="L92" s="60"/>
      <c r="M92" s="60"/>
    </row>
    <row r="93" spans="1:13" x14ac:dyDescent="0.2">
      <c r="A93" s="60"/>
      <c r="B93" s="60"/>
      <c r="C93" s="60"/>
      <c r="D93" s="60"/>
      <c r="E93" s="60"/>
      <c r="F93" s="60"/>
      <c r="G93" s="60"/>
      <c r="H93" s="60"/>
      <c r="I93" s="60"/>
      <c r="J93" s="60"/>
      <c r="K93" s="60"/>
      <c r="L93" s="60"/>
      <c r="M93" s="60"/>
    </row>
    <row r="94" spans="1:13" x14ac:dyDescent="0.2">
      <c r="A94" s="60"/>
      <c r="B94" s="60"/>
      <c r="C94" s="60"/>
      <c r="D94" s="60"/>
      <c r="E94" s="60"/>
      <c r="F94" s="60"/>
      <c r="G94" s="60"/>
      <c r="H94" s="60"/>
      <c r="I94" s="60"/>
      <c r="J94" s="60"/>
      <c r="K94" s="60"/>
      <c r="L94" s="60"/>
      <c r="M94" s="60"/>
    </row>
    <row r="95" spans="1:13" x14ac:dyDescent="0.2">
      <c r="A95" s="60"/>
      <c r="B95" s="60"/>
      <c r="C95" s="60"/>
      <c r="D95" s="60"/>
      <c r="E95" s="60"/>
      <c r="F95" s="60"/>
      <c r="G95" s="60"/>
      <c r="H95" s="60"/>
      <c r="I95" s="60"/>
      <c r="J95" s="60"/>
      <c r="K95" s="60"/>
      <c r="L95" s="60"/>
      <c r="M95" s="60"/>
    </row>
    <row r="96" spans="1:13" x14ac:dyDescent="0.2">
      <c r="A96" s="60"/>
      <c r="B96" s="60"/>
      <c r="C96" s="60"/>
      <c r="D96" s="60"/>
      <c r="E96" s="60"/>
      <c r="F96" s="60"/>
      <c r="G96" s="60"/>
      <c r="H96" s="60"/>
      <c r="I96" s="60"/>
      <c r="J96" s="60"/>
      <c r="K96" s="60"/>
      <c r="L96" s="60"/>
      <c r="M96" s="60"/>
    </row>
    <row r="97" spans="1:13" x14ac:dyDescent="0.2">
      <c r="A97" s="60"/>
      <c r="B97" s="60"/>
      <c r="C97" s="60"/>
      <c r="D97" s="60"/>
      <c r="E97" s="60"/>
      <c r="F97" s="60"/>
      <c r="G97" s="60"/>
      <c r="H97" s="60"/>
      <c r="I97" s="60"/>
      <c r="J97" s="60"/>
      <c r="K97" s="60"/>
      <c r="L97" s="60"/>
      <c r="M97" s="60"/>
    </row>
    <row r="98" spans="1:13" x14ac:dyDescent="0.2">
      <c r="A98" s="60"/>
      <c r="B98" s="60"/>
      <c r="C98" s="60"/>
      <c r="D98" s="60"/>
      <c r="E98" s="60"/>
      <c r="F98" s="60"/>
      <c r="G98" s="60"/>
      <c r="H98" s="60"/>
      <c r="I98" s="60"/>
      <c r="J98" s="60"/>
      <c r="K98" s="60"/>
      <c r="L98" s="60"/>
      <c r="M98" s="60"/>
    </row>
    <row r="99" spans="1:13" x14ac:dyDescent="0.2">
      <c r="A99" s="60"/>
      <c r="B99" s="60"/>
      <c r="C99" s="60"/>
      <c r="D99" s="60"/>
      <c r="E99" s="60"/>
      <c r="F99" s="60"/>
      <c r="G99" s="60"/>
      <c r="H99" s="60"/>
      <c r="I99" s="60"/>
      <c r="J99" s="60"/>
      <c r="K99" s="60"/>
      <c r="L99" s="60"/>
      <c r="M99" s="60"/>
    </row>
    <row r="100" spans="1:13" x14ac:dyDescent="0.2">
      <c r="A100" s="60"/>
      <c r="B100" s="60"/>
      <c r="C100" s="60"/>
      <c r="D100" s="60"/>
      <c r="E100" s="60"/>
      <c r="F100" s="60"/>
      <c r="G100" s="60"/>
      <c r="H100" s="60"/>
      <c r="I100" s="60"/>
      <c r="J100" s="60"/>
      <c r="K100" s="60"/>
      <c r="L100" s="60"/>
      <c r="M100" s="60"/>
    </row>
    <row r="101" spans="1:13" x14ac:dyDescent="0.2">
      <c r="A101" s="60"/>
      <c r="B101" s="60"/>
      <c r="C101" s="60"/>
      <c r="D101" s="60"/>
      <c r="E101" s="60"/>
      <c r="F101" s="60"/>
      <c r="G101" s="60"/>
      <c r="H101" s="60"/>
      <c r="I101" s="60"/>
      <c r="J101" s="60"/>
      <c r="K101" s="60"/>
      <c r="L101" s="60"/>
      <c r="M101" s="60"/>
    </row>
    <row r="102" spans="1:13" x14ac:dyDescent="0.2">
      <c r="A102" s="60"/>
      <c r="B102" s="60"/>
      <c r="C102" s="60"/>
      <c r="D102" s="60"/>
      <c r="E102" s="60"/>
      <c r="F102" s="60"/>
      <c r="G102" s="60"/>
      <c r="H102" s="60"/>
      <c r="I102" s="60"/>
      <c r="J102" s="60"/>
      <c r="K102" s="60"/>
      <c r="L102" s="60"/>
      <c r="M102" s="60"/>
    </row>
  </sheetData>
  <phoneticPr fontId="0" type="noConversion"/>
  <pageMargins left="0.25" right="0.25" top="1" bottom="1" header="0.5" footer="0.5"/>
  <pageSetup scale="8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121"/>
  <sheetViews>
    <sheetView showGridLines="0" zoomScaleNormal="100" workbookViewId="0">
      <selection activeCell="E28" sqref="E28"/>
    </sheetView>
  </sheetViews>
  <sheetFormatPr defaultRowHeight="12.75" x14ac:dyDescent="0.2"/>
  <cols>
    <col min="2" max="2" width="3.7109375" customWidth="1"/>
    <col min="3" max="12" width="12.7109375" customWidth="1"/>
  </cols>
  <sheetData>
    <row r="1" spans="1:13" x14ac:dyDescent="0.2">
      <c r="A1" s="52" t="str">
        <f>"Commodity Pricing:  "&amp;TEXT(A7,"mmm-yy")&amp;" - "&amp;TEXT(A18,"mmm-yy")</f>
        <v>Commodity Pricing:  May-14 - Apr-15</v>
      </c>
      <c r="B1" s="53"/>
    </row>
    <row r="2" spans="1:13" x14ac:dyDescent="0.2">
      <c r="A2" s="54" t="s">
        <v>20</v>
      </c>
      <c r="B2" s="54"/>
    </row>
    <row r="3" spans="1:13" x14ac:dyDescent="0.2">
      <c r="A3" s="54"/>
      <c r="B3" s="54"/>
    </row>
    <row r="4" spans="1:13" x14ac:dyDescent="0.2">
      <c r="B4" s="64"/>
      <c r="C4" s="56" t="s">
        <v>21</v>
      </c>
      <c r="D4" s="56" t="s">
        <v>22</v>
      </c>
      <c r="E4" s="56" t="s">
        <v>55</v>
      </c>
      <c r="F4" s="56" t="s">
        <v>23</v>
      </c>
      <c r="G4" s="56" t="s">
        <v>24</v>
      </c>
      <c r="H4" s="56" t="s">
        <v>25</v>
      </c>
      <c r="I4" s="56" t="s">
        <v>26</v>
      </c>
      <c r="J4" s="56" t="s">
        <v>27</v>
      </c>
      <c r="K4" s="56" t="s">
        <v>28</v>
      </c>
      <c r="L4" s="56" t="s">
        <v>29</v>
      </c>
      <c r="M4" s="56"/>
    </row>
    <row r="5" spans="1:13" x14ac:dyDescent="0.2">
      <c r="B5" s="64"/>
      <c r="C5" s="107">
        <v>69</v>
      </c>
      <c r="D5" s="107">
        <v>71</v>
      </c>
      <c r="E5" s="107">
        <v>72</v>
      </c>
      <c r="F5" s="107">
        <v>67</v>
      </c>
      <c r="G5" s="107">
        <v>64</v>
      </c>
      <c r="H5" s="107">
        <v>74</v>
      </c>
      <c r="I5" s="107">
        <v>68</v>
      </c>
      <c r="J5" s="107">
        <v>68</v>
      </c>
      <c r="K5" s="107">
        <v>65</v>
      </c>
      <c r="L5" s="107">
        <v>73</v>
      </c>
      <c r="M5" s="64"/>
    </row>
    <row r="6" spans="1:13" x14ac:dyDescent="0.2">
      <c r="B6" s="64"/>
      <c r="C6" s="64"/>
      <c r="D6" s="64"/>
      <c r="E6" s="64"/>
      <c r="F6" s="64"/>
      <c r="G6" s="64"/>
      <c r="H6" s="64"/>
      <c r="I6" s="64"/>
      <c r="J6" s="64"/>
      <c r="K6" s="64"/>
      <c r="L6" s="64"/>
      <c r="M6" s="64"/>
    </row>
    <row r="7" spans="1:13" x14ac:dyDescent="0.2">
      <c r="A7" s="59">
        <f>+'SF Commodity Tonnages'!A7</f>
        <v>41760</v>
      </c>
      <c r="B7" s="64"/>
      <c r="C7" s="65">
        <f>HLOOKUP($A7,'Single Family'!$C$6:$N$79,C$5,FALSE)</f>
        <v>1078.01</v>
      </c>
      <c r="D7" s="69">
        <f>HLOOKUP($A7,'Single Family'!$C$6:$N$79,D$5,FALSE)</f>
        <v>-15.18</v>
      </c>
      <c r="E7" s="69">
        <f>HLOOKUP($A7,'Single Family'!$C$6:$N$79,E$5,FALSE)</f>
        <v>-120.17</v>
      </c>
      <c r="F7" s="65">
        <f>HLOOKUP($A7,'Single Family'!$C$6:$N$79,F$5,FALSE)</f>
        <v>80.19</v>
      </c>
      <c r="G7" s="65">
        <f>HLOOKUP($A7,'Single Family'!$C$6:$N$79,G$5,FALSE)</f>
        <v>75.099999999999994</v>
      </c>
      <c r="H7" s="65">
        <f>HLOOKUP($A7,'Single Family'!$C$6:$N$79,H$5,FALSE)</f>
        <v>70.069999999999993</v>
      </c>
      <c r="I7" s="65">
        <f>HLOOKUP($A7,'Single Family'!$C$6:$N$79,I$5,FALSE)</f>
        <v>189.1</v>
      </c>
      <c r="J7" s="65">
        <f>HLOOKUP($A7,'Single Family'!$C$6:$N$79,J$5,FALSE)</f>
        <v>189.1</v>
      </c>
      <c r="K7" s="65">
        <f>HLOOKUP($A7,'Single Family'!$C$6:$N$79,K$5,FALSE)</f>
        <v>99.53</v>
      </c>
      <c r="L7" s="69">
        <f>HLOOKUP($A7,'Single Family'!$C$6:$N$79,L$5,FALSE)</f>
        <v>-120.17</v>
      </c>
      <c r="M7" s="64"/>
    </row>
    <row r="8" spans="1:13" x14ac:dyDescent="0.2">
      <c r="A8" s="59">
        <f>+'SF Commodity Tonnages'!A8</f>
        <v>41820</v>
      </c>
      <c r="B8" s="64"/>
      <c r="C8" s="65">
        <f>HLOOKUP($A8,'Single Family'!$C$6:$N$79,C$5,FALSE)</f>
        <v>1048.72</v>
      </c>
      <c r="D8" s="69">
        <f>HLOOKUP($A8,'Single Family'!$C$6:$N$79,D$5,FALSE)</f>
        <v>-6.98</v>
      </c>
      <c r="E8" s="69">
        <f>HLOOKUP($A8,'Single Family'!$C$6:$N$79,E$5,FALSE)</f>
        <v>-120.17</v>
      </c>
      <c r="F8" s="65">
        <f>HLOOKUP($A8,'Single Family'!$C$6:$N$79,F$5,FALSE)</f>
        <v>74.19</v>
      </c>
      <c r="G8" s="65">
        <f>HLOOKUP($A8,'Single Family'!$C$6:$N$79,G$5,FALSE)</f>
        <v>73.849999999999994</v>
      </c>
      <c r="H8" s="65">
        <f>HLOOKUP($A8,'Single Family'!$C$6:$N$79,H$5,FALSE)</f>
        <v>68.36</v>
      </c>
      <c r="I8" s="65">
        <f>HLOOKUP($A8,'Single Family'!$C$6:$N$79,I$5,FALSE)</f>
        <v>190.61</v>
      </c>
      <c r="J8" s="65">
        <f>HLOOKUP($A8,'Single Family'!$C$6:$N$79,J$5,FALSE)</f>
        <v>190.61</v>
      </c>
      <c r="K8" s="65">
        <f>HLOOKUP($A8,'Single Family'!$C$6:$N$79,K$5,FALSE)</f>
        <v>95.65</v>
      </c>
      <c r="L8" s="69">
        <f>HLOOKUP($A8,'Single Family'!$C$6:$N$79,L$5,FALSE)</f>
        <v>-120.17</v>
      </c>
      <c r="M8" s="64"/>
    </row>
    <row r="9" spans="1:13" x14ac:dyDescent="0.2">
      <c r="A9" s="59">
        <f>+'SF Commodity Tonnages'!A9</f>
        <v>41851</v>
      </c>
      <c r="B9" s="60"/>
      <c r="C9" s="65">
        <f>HLOOKUP($A9,'Single Family'!$C$6:$N$79,C$5,FALSE)</f>
        <v>1082.54</v>
      </c>
      <c r="D9" s="69">
        <f>HLOOKUP($A9,'Single Family'!$C$6:$N$79,D$5,FALSE)</f>
        <v>-7.6</v>
      </c>
      <c r="E9" s="69">
        <f>HLOOKUP($A9,'Single Family'!$C$6:$N$79,E$5,FALSE)</f>
        <v>-120.71</v>
      </c>
      <c r="F9" s="65">
        <f>HLOOKUP($A9,'Single Family'!$C$6:$N$79,F$5,FALSE)</f>
        <v>73.75</v>
      </c>
      <c r="G9" s="65">
        <f>HLOOKUP($A9,'Single Family'!$C$6:$N$79,G$5,FALSE)</f>
        <v>74.45</v>
      </c>
      <c r="H9" s="65">
        <f>HLOOKUP($A9,'Single Family'!$C$6:$N$79,H$5,FALSE)</f>
        <v>68.42</v>
      </c>
      <c r="I9" s="65">
        <f>HLOOKUP($A9,'Single Family'!$C$6:$N$79,I$5,FALSE)</f>
        <v>213.81</v>
      </c>
      <c r="J9" s="65">
        <f>HLOOKUP($A9,'Single Family'!$C$6:$N$79,J$5,FALSE)</f>
        <v>213.81</v>
      </c>
      <c r="K9" s="65">
        <f>HLOOKUP($A9,'Single Family'!$C$6:$N$79,K$5,FALSE)</f>
        <v>101.64</v>
      </c>
      <c r="L9" s="69">
        <f>HLOOKUP($A9,'Single Family'!$C$6:$N$79,L$5,FALSE)</f>
        <v>-120.17</v>
      </c>
      <c r="M9" s="61"/>
    </row>
    <row r="10" spans="1:13" x14ac:dyDescent="0.2">
      <c r="A10" s="59">
        <f>+'SF Commodity Tonnages'!A10</f>
        <v>41882</v>
      </c>
      <c r="B10" s="60"/>
      <c r="C10" s="65">
        <f>HLOOKUP($A10,'Single Family'!$C$6:$N$79,C$5,FALSE)</f>
        <v>1138.19</v>
      </c>
      <c r="D10" s="69">
        <f>HLOOKUP($A10,'Single Family'!$C$6:$N$79,D$5,FALSE)</f>
        <v>-8.7100000000000009</v>
      </c>
      <c r="E10" s="69">
        <f>HLOOKUP($A10,'Single Family'!$C$6:$N$79,E$5,FALSE)</f>
        <v>-120.17</v>
      </c>
      <c r="F10" s="65">
        <f>HLOOKUP($A10,'Single Family'!$C$6:$N$79,F$5,FALSE)</f>
        <v>73.260000000000005</v>
      </c>
      <c r="G10" s="65">
        <f>HLOOKUP($A10,'Single Family'!$C$6:$N$79,G$5,FALSE)</f>
        <v>73.7</v>
      </c>
      <c r="H10" s="65">
        <f>HLOOKUP($A10,'Single Family'!$C$6:$N$79,H$5,FALSE)</f>
        <v>68.02</v>
      </c>
      <c r="I10" s="65">
        <f>HLOOKUP($A10,'Single Family'!$C$6:$N$79,I$5,FALSE)</f>
        <v>216.37</v>
      </c>
      <c r="J10" s="65">
        <f>HLOOKUP($A10,'Single Family'!$C$6:$N$79,J$5,FALSE)</f>
        <v>216.37</v>
      </c>
      <c r="K10" s="65">
        <f>HLOOKUP($A10,'Single Family'!$C$6:$N$79,K$5,FALSE)</f>
        <v>98.99</v>
      </c>
      <c r="L10" s="69">
        <f>HLOOKUP($A10,'Single Family'!$C$6:$N$79,L$5,FALSE)</f>
        <v>-120.17</v>
      </c>
      <c r="M10" s="61"/>
    </row>
    <row r="11" spans="1:13" x14ac:dyDescent="0.2">
      <c r="A11" s="59">
        <f>+'SF Commodity Tonnages'!A11</f>
        <v>41912</v>
      </c>
      <c r="B11" s="60"/>
      <c r="C11" s="65">
        <f>HLOOKUP($A11,'Single Family'!$C$6:$N$79,C$5,FALSE)</f>
        <v>1150.8559999999998</v>
      </c>
      <c r="D11" s="69">
        <f>HLOOKUP($A11,'Single Family'!$C$6:$N$79,D$5,FALSE)</f>
        <v>2.6</v>
      </c>
      <c r="E11" s="69">
        <f>HLOOKUP($A11,'Single Family'!$C$6:$N$79,E$5,FALSE)</f>
        <v>-120.17</v>
      </c>
      <c r="F11" s="65">
        <f>HLOOKUP($A11,'Single Family'!$C$6:$N$79,F$5,FALSE)</f>
        <v>76.705999999999989</v>
      </c>
      <c r="G11" s="65">
        <f>HLOOKUP($A11,'Single Family'!$C$6:$N$79,G$5,FALSE)</f>
        <v>67.003999999999991</v>
      </c>
      <c r="H11" s="65">
        <f>HLOOKUP($A11,'Single Family'!$C$6:$N$79,H$5,FALSE)</f>
        <v>62.811</v>
      </c>
      <c r="I11" s="65">
        <f>HLOOKUP($A11,'Single Family'!$C$6:$N$79,I$5,FALSE)</f>
        <v>238.16799999999998</v>
      </c>
      <c r="J11" s="65">
        <f>HLOOKUP($A11,'Single Family'!$C$6:$N$79,J$5,FALSE)</f>
        <v>238.16799999999998</v>
      </c>
      <c r="K11" s="65">
        <f>HLOOKUP($A11,'Single Family'!$C$6:$N$79,K$5,FALSE)</f>
        <v>91.475999999999999</v>
      </c>
      <c r="L11" s="69">
        <f>HLOOKUP($A11,'Single Family'!$C$6:$N$79,L$5,FALSE)</f>
        <v>-120.17</v>
      </c>
      <c r="M11" s="61"/>
    </row>
    <row r="12" spans="1:13" x14ac:dyDescent="0.2">
      <c r="A12" s="59">
        <f>+'SF Commodity Tonnages'!A12</f>
        <v>41943</v>
      </c>
      <c r="B12" s="60"/>
      <c r="C12" s="65">
        <f>HLOOKUP($A12,'Single Family'!$C$6:$N$79,C$5,FALSE)</f>
        <v>1124.4870000000001</v>
      </c>
      <c r="D12" s="69">
        <f>HLOOKUP($A12,'Single Family'!$C$6:$N$79,D$5,FALSE)</f>
        <v>0.99399999999999988</v>
      </c>
      <c r="E12" s="69">
        <f>HLOOKUP($A12,'Single Family'!$C$6:$N$79,E$5,FALSE)</f>
        <v>-120.17</v>
      </c>
      <c r="F12" s="65">
        <f>HLOOKUP($A12,'Single Family'!$C$6:$N$79,F$5,FALSE)</f>
        <v>61.949999999999996</v>
      </c>
      <c r="G12" s="65">
        <f>HLOOKUP($A12,'Single Family'!$C$6:$N$79,G$5,FALSE)</f>
        <v>68.453000000000003</v>
      </c>
      <c r="H12" s="65">
        <f>HLOOKUP($A12,'Single Family'!$C$6:$N$79,H$5,FALSE)</f>
        <v>60.717999999999989</v>
      </c>
      <c r="I12" s="65">
        <f>HLOOKUP($A12,'Single Family'!$C$6:$N$79,I$5,FALSE)</f>
        <v>230.12499999999997</v>
      </c>
      <c r="J12" s="65">
        <f>HLOOKUP($A12,'Single Family'!$C$6:$N$79,J$5,FALSE)</f>
        <v>230.12499999999997</v>
      </c>
      <c r="K12" s="65">
        <f>HLOOKUP($A12,'Single Family'!$C$6:$N$79,K$5,FALSE)</f>
        <v>95.332999999999998</v>
      </c>
      <c r="L12" s="69">
        <f>HLOOKUP($A12,'Single Family'!$C$6:$N$79,L$5,FALSE)</f>
        <v>-120.17</v>
      </c>
      <c r="M12" s="61"/>
    </row>
    <row r="13" spans="1:13" x14ac:dyDescent="0.2">
      <c r="A13" s="59">
        <f>+'SF Commodity Tonnages'!A13</f>
        <v>41973</v>
      </c>
      <c r="B13" s="60"/>
      <c r="C13" s="65">
        <f>HLOOKUP($A13,'Single Family'!$C$6:$N$79,C$5,FALSE)</f>
        <v>1232</v>
      </c>
      <c r="D13" s="69">
        <f>HLOOKUP($A13,'Single Family'!$C$6:$N$79,D$5,FALSE)</f>
        <v>-2.9539999999999997</v>
      </c>
      <c r="E13" s="69">
        <f>HLOOKUP($A13,'Single Family'!$C$6:$N$79,E$5,FALSE)</f>
        <v>-120.17</v>
      </c>
      <c r="F13" s="65">
        <f>HLOOKUP($A13,'Single Family'!$C$6:$N$79,F$5,FALSE)</f>
        <v>52.856999999999999</v>
      </c>
      <c r="G13" s="65">
        <f>HLOOKUP($A13,'Single Family'!$C$6:$N$79,G$5,FALSE)</f>
        <v>63.755999999999993</v>
      </c>
      <c r="H13" s="65">
        <f>HLOOKUP($A13,'Single Family'!$C$6:$N$79,H$5,FALSE)</f>
        <v>56.370999999999995</v>
      </c>
      <c r="I13" s="65">
        <f>HLOOKUP($A13,'Single Family'!$C$6:$N$79,I$5,FALSE)</f>
        <v>209.37700000000001</v>
      </c>
      <c r="J13" s="65">
        <f>HLOOKUP($A13,'Single Family'!$C$6:$N$79,J$5,FALSE)</f>
        <v>209.37700000000001</v>
      </c>
      <c r="K13" s="65">
        <f>HLOOKUP($A13,'Single Family'!$C$6:$N$79,K$5,FALSE)</f>
        <v>93.1</v>
      </c>
      <c r="L13" s="69">
        <f>HLOOKUP($A13,'Single Family'!$C$6:$N$79,L$5,FALSE)</f>
        <v>-120.17</v>
      </c>
      <c r="M13" s="61"/>
    </row>
    <row r="14" spans="1:13" x14ac:dyDescent="0.2">
      <c r="A14" s="59">
        <f>+'SF Commodity Tonnages'!A14</f>
        <v>42004</v>
      </c>
      <c r="B14" s="60"/>
      <c r="C14" s="65">
        <f>HLOOKUP($A14,'Single Family'!$C$6:$N$79,C$5,FALSE)</f>
        <v>1190</v>
      </c>
      <c r="D14" s="69">
        <f>HLOOKUP($A14,'Single Family'!$C$6:$N$79,D$5,FALSE)</f>
        <v>-4.7669999999999995</v>
      </c>
      <c r="E14" s="69">
        <f>HLOOKUP($A14,'Single Family'!$C$6:$N$79,E$5,FALSE)</f>
        <v>-120.17</v>
      </c>
      <c r="F14" s="65">
        <f>HLOOKUP($A14,'Single Family'!$C$6:$N$79,F$5,FALSE)</f>
        <v>53.297999999999995</v>
      </c>
      <c r="G14" s="65">
        <f>HLOOKUP($A14,'Single Family'!$C$6:$N$79,G$5,FALSE)</f>
        <v>60.780999999999992</v>
      </c>
      <c r="H14" s="65">
        <f>HLOOKUP($A14,'Single Family'!$C$6:$N$79,H$5,FALSE)</f>
        <v>53.717999999999996</v>
      </c>
      <c r="I14" s="65">
        <f>HLOOKUP($A14,'Single Family'!$C$6:$N$79,I$5,FALSE)</f>
        <v>171.57</v>
      </c>
      <c r="J14" s="65">
        <f>HLOOKUP($A14,'Single Family'!$C$6:$N$79,J$5,FALSE)</f>
        <v>171.57</v>
      </c>
      <c r="K14" s="65">
        <f>HLOOKUP($A14,'Single Family'!$C$6:$N$79,K$5,FALSE)</f>
        <v>88.647999999999996</v>
      </c>
      <c r="L14" s="69">
        <f>HLOOKUP($A14,'Single Family'!$C$6:$N$79,L$5,FALSE)</f>
        <v>-120.17</v>
      </c>
      <c r="M14" s="61"/>
    </row>
    <row r="15" spans="1:13" x14ac:dyDescent="0.2">
      <c r="A15" s="59">
        <f>+'SF Commodity Tonnages'!A15</f>
        <v>42035</v>
      </c>
      <c r="B15" s="60"/>
      <c r="C15" s="65">
        <f>HLOOKUP($A15,'Single Family'!$C$6:$N$79,C$5,FALSE)</f>
        <v>1106</v>
      </c>
      <c r="D15" s="69">
        <f>HLOOKUP($A15,'Single Family'!$C$6:$N$79,D$5,FALSE)</f>
        <v>-3.9339999999999997</v>
      </c>
      <c r="E15" s="69">
        <f>HLOOKUP($A15,'Single Family'!$C$6:$N$79,E$5,FALSE)</f>
        <v>-120.17</v>
      </c>
      <c r="F15" s="65">
        <f>HLOOKUP($A15,'Single Family'!$C$6:$N$79,F$5,FALSE)</f>
        <v>53.024999999999999</v>
      </c>
      <c r="G15" s="65">
        <f>HLOOKUP($A15,'Single Family'!$C$6:$N$79,G$5,FALSE)</f>
        <v>59.100999999999999</v>
      </c>
      <c r="H15" s="65">
        <f>HLOOKUP($A15,'Single Family'!$C$6:$N$79,H$5,FALSE)</f>
        <v>53.255999999999993</v>
      </c>
      <c r="I15" s="65">
        <f>HLOOKUP($A15,'Single Family'!$C$6:$N$79,I$5,FALSE)</f>
        <v>130.49399999999997</v>
      </c>
      <c r="J15" s="65">
        <f>HLOOKUP($A15,'Single Family'!$C$6:$N$79,J$5,FALSE)</f>
        <v>130.49399999999997</v>
      </c>
      <c r="K15" s="65">
        <f>HLOOKUP($A15,'Single Family'!$C$6:$N$79,K$5,FALSE)</f>
        <v>85.644999999999996</v>
      </c>
      <c r="L15" s="69">
        <f>HLOOKUP($A15,'Single Family'!$C$6:$N$79,L$5,FALSE)</f>
        <v>-120.17</v>
      </c>
      <c r="M15" s="61"/>
    </row>
    <row r="16" spans="1:13" x14ac:dyDescent="0.2">
      <c r="A16" s="59">
        <f>+'SF Commodity Tonnages'!A16</f>
        <v>42063</v>
      </c>
      <c r="B16" s="60"/>
      <c r="C16" s="65">
        <f>HLOOKUP($A16,'Single Family'!$C$6:$N$79,C$5,FALSE)</f>
        <v>1095.4089999999999</v>
      </c>
      <c r="D16" s="69">
        <f>HLOOKUP($A16,'Single Family'!$C$6:$N$79,D$5,FALSE)</f>
        <v>-9.113999999999999</v>
      </c>
      <c r="E16" s="69">
        <f>HLOOKUP($A16,'Single Family'!$C$6:$N$79,E$5,FALSE)</f>
        <v>-120.17</v>
      </c>
      <c r="F16" s="65">
        <f>HLOOKUP($A16,'Single Family'!$C$6:$N$79,F$5,FALSE)</f>
        <v>39.094999999999999</v>
      </c>
      <c r="G16" s="65">
        <f>HLOOKUP($A16,'Single Family'!$C$6:$N$79,G$5,FALSE)</f>
        <v>58.519999999999989</v>
      </c>
      <c r="H16" s="65">
        <f>HLOOKUP($A16,'Single Family'!$C$6:$N$79,H$5,FALSE)</f>
        <v>51.967999999999996</v>
      </c>
      <c r="I16" s="65">
        <f>HLOOKUP($A16,'Single Family'!$C$6:$N$79,I$5,FALSE)</f>
        <v>104.23699999999999</v>
      </c>
      <c r="J16" s="65">
        <f>HLOOKUP($A16,'Single Family'!$C$6:$N$79,J$5,FALSE)</f>
        <v>104.23699999999999</v>
      </c>
      <c r="K16" s="65">
        <f>HLOOKUP($A16,'Single Family'!$C$6:$N$79,K$5,FALSE)</f>
        <v>73.444000000000003</v>
      </c>
      <c r="L16" s="69">
        <f>HLOOKUP($A16,'Single Family'!$C$6:$N$79,L$5,FALSE)</f>
        <v>-120.17</v>
      </c>
      <c r="M16" s="61"/>
    </row>
    <row r="17" spans="1:14" x14ac:dyDescent="0.2">
      <c r="A17" s="59">
        <f>+'SF Commodity Tonnages'!A17</f>
        <v>42094</v>
      </c>
      <c r="B17" s="60"/>
      <c r="C17" s="65">
        <f>HLOOKUP($A17,'Single Family'!$C$6:$N$79,C$5,FALSE)</f>
        <v>1041.194</v>
      </c>
      <c r="D17" s="69">
        <f>HLOOKUP($A17,'Single Family'!$C$6:$N$79,D$5,FALSE)</f>
        <v>-5.194</v>
      </c>
      <c r="E17" s="69">
        <f>HLOOKUP($A17,'Single Family'!$C$6:$N$79,E$5,FALSE)</f>
        <v>-120.17</v>
      </c>
      <c r="F17" s="65">
        <f>HLOOKUP($A17,'Single Family'!$C$6:$N$79,F$5,FALSE)</f>
        <v>39.753</v>
      </c>
      <c r="G17" s="65">
        <f>HLOOKUP($A17,'Single Family'!$C$6:$N$79,G$5,FALSE)</f>
        <v>59.919999999999995</v>
      </c>
      <c r="H17" s="65">
        <f>HLOOKUP($A17,'Single Family'!$C$6:$N$79,H$5,FALSE)</f>
        <v>56.069999999999993</v>
      </c>
      <c r="I17" s="65">
        <f>HLOOKUP($A17,'Single Family'!$C$6:$N$79,I$5,FALSE)</f>
        <v>119.26599999999999</v>
      </c>
      <c r="J17" s="65">
        <f>HLOOKUP($A17,'Single Family'!$C$6:$N$79,J$5,FALSE)</f>
        <v>119.26599999999999</v>
      </c>
      <c r="K17" s="65">
        <f>HLOOKUP($A17,'Single Family'!$C$6:$N$79,K$5,FALSE)</f>
        <v>71.742999999999995</v>
      </c>
      <c r="L17" s="69">
        <f>HLOOKUP($A17,'Single Family'!$C$6:$N$79,L$5,FALSE)</f>
        <v>-120.17</v>
      </c>
      <c r="M17" s="61"/>
    </row>
    <row r="18" spans="1:14" x14ac:dyDescent="0.2">
      <c r="A18" s="59">
        <f>+'SF Commodity Tonnages'!A18</f>
        <v>42124</v>
      </c>
      <c r="B18" s="60"/>
      <c r="C18" s="65">
        <f>HLOOKUP($A18,'Single Family'!$C$6:$N$79,C$5,FALSE)</f>
        <v>970.33299999999997</v>
      </c>
      <c r="D18" s="69">
        <f>HLOOKUP($A18,'Single Family'!$C$6:$N$79,D$5,FALSE)</f>
        <v>-13.93</v>
      </c>
      <c r="E18" s="69">
        <f>HLOOKUP($A18,'Single Family'!$C$6:$N$79,E$5,FALSE)</f>
        <v>-120.17</v>
      </c>
      <c r="F18" s="65">
        <f>HLOOKUP($A18,'Single Family'!$C$6:$N$79,F$5,FALSE)</f>
        <v>39.269999999999996</v>
      </c>
      <c r="G18" s="65">
        <f>HLOOKUP($A18,'Single Family'!$C$6:$N$79,G$5,FALSE)</f>
        <v>61.284999999999997</v>
      </c>
      <c r="H18" s="65">
        <f>HLOOKUP($A18,'Single Family'!$C$6:$N$79,H$5,FALSE)</f>
        <v>56.069999999999993</v>
      </c>
      <c r="I18" s="65">
        <f>HLOOKUP($A18,'Single Family'!$C$6:$N$79,I$5,FALSE)</f>
        <v>143.15699999999998</v>
      </c>
      <c r="J18" s="65">
        <f>HLOOKUP($A18,'Single Family'!$C$6:$N$79,J$5,FALSE)</f>
        <v>143.15699999999998</v>
      </c>
      <c r="K18" s="65">
        <f>HLOOKUP($A18,'Single Family'!$C$6:$N$79,K$5,FALSE)</f>
        <v>80.044999999999987</v>
      </c>
      <c r="L18" s="69">
        <f>HLOOKUP($A18,'Single Family'!$C$6:$N$79,L$5,FALSE)</f>
        <v>-120.17</v>
      </c>
      <c r="M18" s="61"/>
    </row>
    <row r="19" spans="1:14" x14ac:dyDescent="0.2">
      <c r="A19" s="60"/>
      <c r="B19" s="60"/>
      <c r="C19" s="61"/>
      <c r="D19" s="61"/>
      <c r="E19" s="61"/>
      <c r="F19" s="61"/>
      <c r="G19" s="61"/>
      <c r="H19" s="61"/>
      <c r="I19" s="61"/>
      <c r="J19" s="61"/>
      <c r="K19" s="61"/>
      <c r="L19" s="60"/>
      <c r="M19" s="61"/>
    </row>
    <row r="20" spans="1:14" x14ac:dyDescent="0.2">
      <c r="A20" s="63"/>
      <c r="B20" s="60"/>
      <c r="C20" s="61"/>
      <c r="D20" s="61"/>
      <c r="E20" s="61"/>
      <c r="F20" s="61"/>
      <c r="G20" s="61"/>
      <c r="H20" s="61"/>
      <c r="I20" s="61"/>
      <c r="J20" s="61"/>
      <c r="K20" s="61"/>
      <c r="L20" s="61"/>
      <c r="M20" s="61"/>
      <c r="N20" s="61" t="s">
        <v>31</v>
      </c>
    </row>
    <row r="21" spans="1:14" x14ac:dyDescent="0.2">
      <c r="A21" s="60"/>
      <c r="B21" s="60"/>
      <c r="C21" s="60"/>
      <c r="D21" s="60"/>
      <c r="E21" s="60"/>
      <c r="F21" s="60"/>
      <c r="G21" s="60"/>
      <c r="H21" s="60"/>
      <c r="I21" s="60"/>
      <c r="J21" s="60"/>
      <c r="K21" s="60"/>
      <c r="L21" s="60"/>
      <c r="M21" s="61"/>
    </row>
    <row r="22" spans="1:14" x14ac:dyDescent="0.2">
      <c r="A22" s="60"/>
      <c r="B22" s="60"/>
      <c r="C22" s="60"/>
      <c r="D22" s="60"/>
      <c r="E22" s="60"/>
      <c r="F22" s="60"/>
      <c r="G22" s="60"/>
      <c r="H22" s="60"/>
      <c r="I22" s="60"/>
      <c r="J22" s="60"/>
      <c r="K22" s="60"/>
      <c r="L22" s="60"/>
      <c r="M22" s="61"/>
    </row>
    <row r="23" spans="1:14" x14ac:dyDescent="0.2">
      <c r="A23" s="60"/>
      <c r="B23" s="60"/>
      <c r="C23" s="60"/>
      <c r="D23" s="60"/>
      <c r="E23" s="60"/>
      <c r="F23" s="60"/>
      <c r="G23" s="60"/>
      <c r="H23" s="60"/>
      <c r="I23" s="60"/>
      <c r="J23" s="60"/>
      <c r="K23" s="60"/>
      <c r="L23" s="60"/>
      <c r="M23" s="61"/>
    </row>
    <row r="24" spans="1:14" x14ac:dyDescent="0.2">
      <c r="A24" s="60"/>
      <c r="B24" s="60"/>
      <c r="C24" s="60"/>
      <c r="D24" s="60"/>
      <c r="E24" s="60"/>
      <c r="F24" s="60"/>
      <c r="G24" s="60"/>
      <c r="H24" s="60"/>
      <c r="I24" s="60"/>
      <c r="J24" s="60"/>
      <c r="K24" s="60"/>
      <c r="L24" s="60"/>
      <c r="M24" s="61"/>
    </row>
    <row r="25" spans="1:14" x14ac:dyDescent="0.2">
      <c r="A25" s="60"/>
      <c r="B25" s="60"/>
      <c r="C25" s="60"/>
      <c r="D25" s="60"/>
      <c r="E25" s="60"/>
      <c r="F25" s="60"/>
      <c r="G25" s="60"/>
      <c r="H25" s="60"/>
      <c r="I25" s="60"/>
      <c r="J25" s="60"/>
      <c r="K25" s="60"/>
      <c r="L25" s="60"/>
      <c r="M25" s="61"/>
    </row>
    <row r="26" spans="1:14" x14ac:dyDescent="0.2">
      <c r="A26" s="60"/>
      <c r="B26" s="60"/>
      <c r="C26" s="60"/>
      <c r="D26" s="60"/>
      <c r="E26" s="60"/>
      <c r="F26" s="60"/>
      <c r="G26" s="60"/>
      <c r="H26" s="60"/>
      <c r="I26" s="60"/>
      <c r="J26" s="60"/>
      <c r="K26" s="60"/>
      <c r="L26" s="60"/>
      <c r="M26" s="61"/>
    </row>
    <row r="27" spans="1:14" x14ac:dyDescent="0.2">
      <c r="A27" s="60"/>
      <c r="B27" s="60"/>
      <c r="C27" s="60"/>
      <c r="D27" s="60"/>
      <c r="E27" s="60"/>
      <c r="F27" s="60"/>
      <c r="G27" s="60"/>
      <c r="H27" s="60"/>
      <c r="I27" s="60"/>
      <c r="J27" s="60"/>
      <c r="K27" s="60"/>
      <c r="L27" s="60"/>
      <c r="M27" s="61"/>
    </row>
    <row r="28" spans="1:14" x14ac:dyDescent="0.2">
      <c r="A28" s="60"/>
      <c r="B28" s="60"/>
      <c r="C28" s="60"/>
      <c r="D28" s="60"/>
      <c r="E28" s="60"/>
      <c r="F28" s="60"/>
      <c r="G28" s="60"/>
      <c r="H28" s="60"/>
      <c r="I28" s="60"/>
      <c r="J28" s="60"/>
      <c r="K28" s="60"/>
      <c r="L28" s="60"/>
      <c r="M28" s="61"/>
    </row>
    <row r="29" spans="1:14" x14ac:dyDescent="0.2">
      <c r="A29" s="60"/>
      <c r="B29" s="60"/>
      <c r="C29" s="60"/>
      <c r="D29" s="60"/>
      <c r="E29" s="60"/>
      <c r="F29" s="60"/>
      <c r="G29" s="60"/>
      <c r="H29" s="60"/>
      <c r="I29" s="60"/>
      <c r="J29" s="60"/>
      <c r="K29" s="60"/>
      <c r="L29" s="60"/>
      <c r="M29" s="61"/>
    </row>
    <row r="30" spans="1:14" x14ac:dyDescent="0.2">
      <c r="A30" s="60"/>
      <c r="B30" s="60"/>
      <c r="C30" s="60"/>
      <c r="D30" s="60"/>
      <c r="E30" s="60"/>
      <c r="F30" s="60"/>
      <c r="G30" s="60"/>
      <c r="H30" s="60"/>
      <c r="I30" s="60"/>
      <c r="J30" s="60"/>
      <c r="K30" s="60"/>
      <c r="L30" s="60"/>
      <c r="M30" s="61"/>
    </row>
    <row r="31" spans="1:14" x14ac:dyDescent="0.2">
      <c r="A31" s="60"/>
      <c r="B31" s="60"/>
      <c r="C31" s="60"/>
      <c r="D31" s="60"/>
      <c r="E31" s="60"/>
      <c r="F31" s="60"/>
      <c r="G31" s="60"/>
      <c r="H31" s="60"/>
      <c r="I31" s="60"/>
      <c r="J31" s="60"/>
      <c r="K31" s="60"/>
      <c r="L31" s="60"/>
      <c r="M31" s="60"/>
    </row>
    <row r="32" spans="1:14" x14ac:dyDescent="0.2">
      <c r="A32" s="60"/>
      <c r="B32" s="60"/>
      <c r="C32" s="60"/>
      <c r="D32" s="60"/>
      <c r="E32" s="60"/>
      <c r="F32" s="60"/>
      <c r="G32" s="60"/>
      <c r="H32" s="60"/>
      <c r="I32" s="60"/>
      <c r="J32" s="60"/>
      <c r="K32" s="60"/>
      <c r="L32" s="60"/>
      <c r="M32" s="60"/>
    </row>
    <row r="33" spans="1:13" x14ac:dyDescent="0.2">
      <c r="A33" s="60"/>
      <c r="B33" s="60"/>
      <c r="C33" s="60"/>
      <c r="D33" s="60"/>
      <c r="E33" s="60"/>
      <c r="F33" s="60"/>
      <c r="G33" s="60"/>
      <c r="H33" s="60"/>
      <c r="I33" s="60"/>
      <c r="J33" s="60"/>
      <c r="K33" s="60"/>
      <c r="L33" s="60"/>
      <c r="M33" s="60"/>
    </row>
    <row r="34" spans="1:13" x14ac:dyDescent="0.2">
      <c r="A34" s="60"/>
      <c r="B34" s="60"/>
      <c r="C34" s="60"/>
      <c r="D34" s="60"/>
      <c r="E34" s="60"/>
      <c r="F34" s="60"/>
      <c r="G34" s="60"/>
      <c r="H34" s="60"/>
      <c r="I34" s="60"/>
      <c r="J34" s="60"/>
      <c r="K34" s="60"/>
      <c r="L34" s="60"/>
      <c r="M34" s="60"/>
    </row>
    <row r="35" spans="1:13" x14ac:dyDescent="0.2">
      <c r="A35" s="60"/>
      <c r="B35" s="60"/>
      <c r="C35" s="60"/>
      <c r="D35" s="60"/>
      <c r="E35" s="60"/>
      <c r="F35" s="60"/>
      <c r="G35" s="60"/>
      <c r="H35" s="60"/>
      <c r="I35" s="60"/>
      <c r="J35" s="60"/>
      <c r="K35" s="60"/>
      <c r="L35" s="60"/>
      <c r="M35" s="60"/>
    </row>
    <row r="36" spans="1:13" x14ac:dyDescent="0.2">
      <c r="A36" s="60"/>
      <c r="B36" s="60"/>
      <c r="C36" s="60"/>
      <c r="D36" s="60"/>
      <c r="E36" s="60"/>
      <c r="F36" s="60"/>
      <c r="G36" s="60"/>
      <c r="H36" s="60"/>
      <c r="I36" s="60"/>
      <c r="J36" s="60"/>
      <c r="K36" s="60"/>
      <c r="L36" s="60"/>
      <c r="M36" s="60"/>
    </row>
    <row r="37" spans="1:13" x14ac:dyDescent="0.2">
      <c r="A37" s="60"/>
      <c r="B37" s="60"/>
      <c r="C37" s="60"/>
      <c r="D37" s="60"/>
      <c r="E37" s="60"/>
      <c r="F37" s="60"/>
      <c r="G37" s="60"/>
      <c r="H37" s="60"/>
      <c r="I37" s="60"/>
      <c r="J37" s="60"/>
      <c r="K37" s="60"/>
      <c r="L37" s="60"/>
      <c r="M37" s="60"/>
    </row>
    <row r="38" spans="1:13" x14ac:dyDescent="0.2">
      <c r="A38" s="60"/>
      <c r="B38" s="60"/>
      <c r="C38" s="60"/>
      <c r="D38" s="60"/>
      <c r="E38" s="60"/>
      <c r="F38" s="60"/>
      <c r="G38" s="60"/>
      <c r="H38" s="60"/>
      <c r="I38" s="60"/>
      <c r="J38" s="60"/>
      <c r="K38" s="60"/>
      <c r="L38" s="60"/>
      <c r="M38" s="60"/>
    </row>
    <row r="39" spans="1:13" x14ac:dyDescent="0.2">
      <c r="A39" s="60"/>
      <c r="B39" s="60"/>
      <c r="C39" s="60"/>
      <c r="D39" s="60"/>
      <c r="E39" s="60"/>
      <c r="F39" s="60"/>
      <c r="G39" s="60"/>
      <c r="H39" s="60"/>
      <c r="I39" s="60"/>
      <c r="J39" s="60"/>
      <c r="K39" s="60"/>
      <c r="L39" s="60"/>
      <c r="M39" s="60"/>
    </row>
    <row r="40" spans="1:13" x14ac:dyDescent="0.2">
      <c r="A40" s="60"/>
      <c r="B40" s="60"/>
      <c r="C40" s="60"/>
      <c r="D40" s="60"/>
      <c r="E40" s="60"/>
      <c r="F40" s="60"/>
      <c r="G40" s="60"/>
      <c r="H40" s="60"/>
      <c r="I40" s="60"/>
      <c r="J40" s="60"/>
      <c r="K40" s="60"/>
      <c r="L40" s="60"/>
      <c r="M40" s="60"/>
    </row>
    <row r="41" spans="1:13" x14ac:dyDescent="0.2">
      <c r="A41" s="60"/>
      <c r="B41" s="60"/>
      <c r="C41" s="60"/>
      <c r="D41" s="60"/>
      <c r="E41" s="60"/>
      <c r="F41" s="60"/>
      <c r="G41" s="60"/>
      <c r="H41" s="60"/>
      <c r="I41" s="60"/>
      <c r="J41" s="60"/>
      <c r="K41" s="60"/>
      <c r="L41" s="60"/>
      <c r="M41" s="60"/>
    </row>
    <row r="42" spans="1:13" x14ac:dyDescent="0.2">
      <c r="A42" s="60"/>
      <c r="B42" s="60"/>
      <c r="C42" s="60"/>
      <c r="D42" s="60"/>
      <c r="E42" s="60"/>
      <c r="F42" s="60"/>
      <c r="G42" s="60"/>
      <c r="H42" s="60"/>
      <c r="I42" s="60"/>
      <c r="J42" s="60"/>
      <c r="K42" s="60"/>
      <c r="L42" s="60"/>
      <c r="M42" s="60"/>
    </row>
    <row r="43" spans="1:13" x14ac:dyDescent="0.2">
      <c r="A43" s="60"/>
      <c r="B43" s="60"/>
      <c r="C43" s="60"/>
      <c r="D43" s="60"/>
      <c r="E43" s="60"/>
      <c r="F43" s="60"/>
      <c r="G43" s="60"/>
      <c r="H43" s="60"/>
      <c r="I43" s="60"/>
      <c r="J43" s="60"/>
      <c r="K43" s="60"/>
      <c r="L43" s="60"/>
      <c r="M43" s="60"/>
    </row>
    <row r="44" spans="1:13" x14ac:dyDescent="0.2">
      <c r="A44" s="60"/>
      <c r="B44" s="60"/>
      <c r="C44" s="60"/>
      <c r="D44" s="60"/>
      <c r="E44" s="60"/>
      <c r="F44" s="60"/>
      <c r="G44" s="60"/>
      <c r="H44" s="60"/>
      <c r="I44" s="60"/>
      <c r="J44" s="60"/>
      <c r="K44" s="60"/>
      <c r="L44" s="60"/>
      <c r="M44" s="60"/>
    </row>
    <row r="45" spans="1:13" x14ac:dyDescent="0.2">
      <c r="A45" s="60"/>
      <c r="B45" s="60"/>
      <c r="C45" s="60"/>
      <c r="D45" s="60"/>
      <c r="E45" s="60"/>
      <c r="F45" s="60"/>
      <c r="G45" s="60"/>
      <c r="H45" s="60"/>
      <c r="I45" s="60"/>
      <c r="J45" s="60"/>
      <c r="K45" s="60"/>
      <c r="L45" s="60"/>
      <c r="M45" s="60"/>
    </row>
    <row r="46" spans="1:13" x14ac:dyDescent="0.2">
      <c r="A46" s="60"/>
      <c r="B46" s="60"/>
      <c r="C46" s="60"/>
      <c r="D46" s="60"/>
      <c r="E46" s="60"/>
      <c r="F46" s="60"/>
      <c r="G46" s="60"/>
      <c r="H46" s="60"/>
      <c r="I46" s="60"/>
      <c r="J46" s="60"/>
      <c r="K46" s="60"/>
      <c r="L46" s="60"/>
      <c r="M46" s="60"/>
    </row>
    <row r="47" spans="1:13" x14ac:dyDescent="0.2">
      <c r="A47" s="60"/>
      <c r="B47" s="60"/>
      <c r="C47" s="60"/>
      <c r="D47" s="60"/>
      <c r="E47" s="60"/>
      <c r="F47" s="60"/>
      <c r="G47" s="60"/>
      <c r="H47" s="60"/>
      <c r="I47" s="60"/>
      <c r="J47" s="60"/>
      <c r="K47" s="60"/>
      <c r="L47" s="60"/>
      <c r="M47" s="60"/>
    </row>
    <row r="48" spans="1:13" x14ac:dyDescent="0.2">
      <c r="A48" s="60"/>
      <c r="B48" s="60"/>
      <c r="C48" s="60"/>
      <c r="D48" s="60"/>
      <c r="E48" s="60"/>
      <c r="F48" s="60"/>
      <c r="G48" s="60"/>
      <c r="H48" s="60"/>
      <c r="I48" s="60"/>
      <c r="J48" s="60"/>
      <c r="K48" s="60"/>
      <c r="L48" s="60"/>
      <c r="M48" s="60"/>
    </row>
    <row r="49" spans="1:13" x14ac:dyDescent="0.2">
      <c r="A49" s="60"/>
      <c r="B49" s="60"/>
      <c r="C49" s="60"/>
      <c r="D49" s="60"/>
      <c r="E49" s="60"/>
      <c r="F49" s="60"/>
      <c r="G49" s="60"/>
      <c r="H49" s="60"/>
      <c r="I49" s="60"/>
      <c r="J49" s="60"/>
      <c r="K49" s="60"/>
      <c r="L49" s="60"/>
      <c r="M49" s="60"/>
    </row>
    <row r="50" spans="1:13" x14ac:dyDescent="0.2">
      <c r="A50" s="60"/>
      <c r="B50" s="60"/>
      <c r="C50" s="60"/>
      <c r="D50" s="60"/>
      <c r="E50" s="60"/>
      <c r="F50" s="60"/>
      <c r="G50" s="60"/>
      <c r="H50" s="60"/>
      <c r="I50" s="60"/>
      <c r="J50" s="60"/>
      <c r="K50" s="60"/>
      <c r="L50" s="60"/>
      <c r="M50" s="60"/>
    </row>
    <row r="51" spans="1:13" x14ac:dyDescent="0.2">
      <c r="A51" s="60"/>
      <c r="B51" s="60"/>
      <c r="C51" s="60"/>
      <c r="D51" s="60"/>
      <c r="E51" s="60"/>
      <c r="F51" s="60"/>
      <c r="G51" s="60"/>
      <c r="H51" s="60"/>
      <c r="I51" s="60"/>
      <c r="J51" s="60"/>
      <c r="K51" s="60"/>
      <c r="L51" s="60"/>
      <c r="M51" s="60"/>
    </row>
    <row r="52" spans="1:13" x14ac:dyDescent="0.2">
      <c r="A52" s="60"/>
      <c r="B52" s="60"/>
      <c r="C52" s="60"/>
      <c r="D52" s="60"/>
      <c r="E52" s="60"/>
      <c r="F52" s="60"/>
      <c r="G52" s="60"/>
      <c r="H52" s="60"/>
      <c r="I52" s="60"/>
      <c r="J52" s="60"/>
      <c r="K52" s="60"/>
      <c r="L52" s="60"/>
      <c r="M52" s="60"/>
    </row>
    <row r="53" spans="1:13" x14ac:dyDescent="0.2">
      <c r="A53" s="60"/>
      <c r="B53" s="60"/>
      <c r="C53" s="60"/>
      <c r="D53" s="60"/>
      <c r="E53" s="60"/>
      <c r="F53" s="60"/>
      <c r="G53" s="60"/>
      <c r="H53" s="60"/>
      <c r="I53" s="60"/>
      <c r="J53" s="60"/>
      <c r="K53" s="60"/>
      <c r="L53" s="60"/>
      <c r="M53" s="60"/>
    </row>
    <row r="54" spans="1:13" x14ac:dyDescent="0.2">
      <c r="A54" s="60"/>
      <c r="B54" s="60"/>
      <c r="C54" s="60"/>
      <c r="D54" s="60"/>
      <c r="E54" s="60"/>
      <c r="F54" s="60"/>
      <c r="G54" s="60"/>
      <c r="H54" s="60"/>
      <c r="I54" s="60"/>
      <c r="J54" s="60"/>
      <c r="K54" s="60"/>
      <c r="L54" s="60"/>
      <c r="M54" s="60"/>
    </row>
    <row r="55" spans="1:13" x14ac:dyDescent="0.2">
      <c r="A55" s="60"/>
      <c r="B55" s="60"/>
      <c r="C55" s="60"/>
      <c r="D55" s="60"/>
      <c r="E55" s="60"/>
      <c r="F55" s="60"/>
      <c r="G55" s="60"/>
      <c r="H55" s="60"/>
      <c r="I55" s="60"/>
      <c r="J55" s="60"/>
      <c r="K55" s="60"/>
      <c r="L55" s="60"/>
      <c r="M55" s="60"/>
    </row>
    <row r="56" spans="1:13" x14ac:dyDescent="0.2">
      <c r="A56" s="60"/>
      <c r="B56" s="60"/>
      <c r="C56" s="60"/>
      <c r="D56" s="60"/>
      <c r="E56" s="60"/>
      <c r="F56" s="60"/>
      <c r="G56" s="60"/>
      <c r="H56" s="60"/>
      <c r="I56" s="60"/>
      <c r="J56" s="60"/>
      <c r="K56" s="60"/>
      <c r="L56" s="60"/>
      <c r="M56" s="60"/>
    </row>
    <row r="57" spans="1:13" x14ac:dyDescent="0.2">
      <c r="A57" s="60"/>
      <c r="B57" s="60"/>
      <c r="C57" s="60"/>
      <c r="D57" s="60"/>
      <c r="E57" s="60"/>
      <c r="F57" s="60"/>
      <c r="G57" s="60"/>
      <c r="H57" s="60"/>
      <c r="I57" s="60"/>
      <c r="J57" s="60"/>
      <c r="K57" s="60"/>
      <c r="L57" s="60"/>
      <c r="M57" s="60"/>
    </row>
    <row r="58" spans="1:13" x14ac:dyDescent="0.2">
      <c r="A58" s="60"/>
      <c r="B58" s="60"/>
      <c r="C58" s="60"/>
      <c r="D58" s="60"/>
      <c r="E58" s="60"/>
      <c r="F58" s="60"/>
      <c r="G58" s="60"/>
      <c r="H58" s="60"/>
      <c r="I58" s="60"/>
      <c r="J58" s="60"/>
      <c r="K58" s="60"/>
      <c r="L58" s="60"/>
      <c r="M58" s="60"/>
    </row>
    <row r="59" spans="1:13" x14ac:dyDescent="0.2">
      <c r="A59" s="60"/>
      <c r="B59" s="60"/>
      <c r="C59" s="60"/>
      <c r="D59" s="60"/>
      <c r="E59" s="60"/>
      <c r="F59" s="60"/>
      <c r="G59" s="60"/>
      <c r="H59" s="60"/>
      <c r="I59" s="60"/>
      <c r="J59" s="60"/>
      <c r="K59" s="60"/>
      <c r="L59" s="60"/>
      <c r="M59" s="60"/>
    </row>
    <row r="60" spans="1:13" x14ac:dyDescent="0.2">
      <c r="A60" s="60"/>
      <c r="B60" s="60"/>
      <c r="C60" s="60"/>
      <c r="D60" s="60"/>
      <c r="E60" s="60"/>
      <c r="F60" s="60"/>
      <c r="G60" s="60"/>
      <c r="H60" s="60"/>
      <c r="I60" s="60"/>
      <c r="J60" s="60"/>
      <c r="K60" s="60"/>
      <c r="L60" s="60"/>
      <c r="M60" s="60"/>
    </row>
    <row r="61" spans="1:13" x14ac:dyDescent="0.2">
      <c r="A61" s="60"/>
      <c r="B61" s="60"/>
      <c r="C61" s="60"/>
      <c r="D61" s="60"/>
      <c r="E61" s="60"/>
      <c r="F61" s="60"/>
      <c r="G61" s="60"/>
      <c r="H61" s="60"/>
      <c r="I61" s="60"/>
      <c r="J61" s="60"/>
      <c r="K61" s="60"/>
      <c r="L61" s="60"/>
      <c r="M61" s="60"/>
    </row>
    <row r="62" spans="1:13" x14ac:dyDescent="0.2">
      <c r="A62" s="60"/>
      <c r="B62" s="60"/>
      <c r="C62" s="60"/>
      <c r="D62" s="60"/>
      <c r="E62" s="60"/>
      <c r="F62" s="60"/>
      <c r="G62" s="60"/>
      <c r="H62" s="60"/>
      <c r="I62" s="60"/>
      <c r="J62" s="60"/>
      <c r="K62" s="60"/>
      <c r="L62" s="60"/>
      <c r="M62" s="60"/>
    </row>
    <row r="63" spans="1:13" x14ac:dyDescent="0.2">
      <c r="A63" s="60"/>
      <c r="B63" s="60"/>
      <c r="C63" s="60"/>
      <c r="D63" s="60"/>
      <c r="E63" s="60"/>
      <c r="F63" s="60"/>
      <c r="G63" s="60"/>
      <c r="H63" s="60"/>
      <c r="I63" s="60"/>
      <c r="J63" s="60"/>
      <c r="K63" s="60"/>
      <c r="L63" s="60"/>
      <c r="M63" s="60"/>
    </row>
    <row r="64" spans="1:13" x14ac:dyDescent="0.2">
      <c r="A64" s="60"/>
      <c r="B64" s="60"/>
      <c r="C64" s="60"/>
      <c r="D64" s="60"/>
      <c r="E64" s="60"/>
      <c r="F64" s="60"/>
      <c r="G64" s="60"/>
      <c r="H64" s="60"/>
      <c r="I64" s="60"/>
      <c r="J64" s="60"/>
      <c r="K64" s="60"/>
      <c r="L64" s="60"/>
      <c r="M64" s="60"/>
    </row>
    <row r="65" spans="1:13" x14ac:dyDescent="0.2">
      <c r="A65" s="60"/>
      <c r="B65" s="60"/>
      <c r="C65" s="60"/>
      <c r="D65" s="60"/>
      <c r="E65" s="60"/>
      <c r="F65" s="60"/>
      <c r="G65" s="60"/>
      <c r="H65" s="60"/>
      <c r="I65" s="60"/>
      <c r="J65" s="60"/>
      <c r="K65" s="60"/>
      <c r="L65" s="60"/>
      <c r="M65" s="60"/>
    </row>
    <row r="66" spans="1:13" x14ac:dyDescent="0.2">
      <c r="A66" s="60"/>
      <c r="B66" s="60"/>
      <c r="C66" s="60"/>
      <c r="D66" s="60"/>
      <c r="E66" s="60"/>
      <c r="F66" s="60"/>
      <c r="G66" s="60"/>
      <c r="H66" s="60"/>
      <c r="I66" s="60"/>
      <c r="J66" s="60"/>
      <c r="K66" s="60"/>
      <c r="L66" s="60"/>
      <c r="M66" s="60"/>
    </row>
    <row r="67" spans="1:13" x14ac:dyDescent="0.2">
      <c r="A67" s="60"/>
      <c r="B67" s="60"/>
      <c r="C67" s="60"/>
      <c r="D67" s="60"/>
      <c r="E67" s="60"/>
      <c r="F67" s="60"/>
      <c r="G67" s="60"/>
      <c r="H67" s="60"/>
      <c r="I67" s="60"/>
      <c r="J67" s="60"/>
      <c r="K67" s="60"/>
      <c r="L67" s="60"/>
      <c r="M67" s="60"/>
    </row>
    <row r="68" spans="1:13" x14ac:dyDescent="0.2">
      <c r="A68" s="60"/>
      <c r="B68" s="60"/>
      <c r="C68" s="60"/>
      <c r="D68" s="60"/>
      <c r="E68" s="60"/>
      <c r="F68" s="60"/>
      <c r="G68" s="60"/>
      <c r="H68" s="60"/>
      <c r="I68" s="60"/>
      <c r="J68" s="60"/>
      <c r="K68" s="60"/>
      <c r="L68" s="60"/>
      <c r="M68" s="60"/>
    </row>
    <row r="69" spans="1:13" x14ac:dyDescent="0.2">
      <c r="A69" s="60"/>
      <c r="B69" s="60"/>
      <c r="C69" s="60"/>
      <c r="D69" s="60"/>
      <c r="E69" s="60"/>
      <c r="F69" s="60"/>
      <c r="G69" s="60"/>
      <c r="H69" s="60"/>
      <c r="I69" s="60"/>
      <c r="J69" s="60"/>
      <c r="K69" s="60"/>
      <c r="L69" s="60"/>
      <c r="M69" s="60"/>
    </row>
    <row r="70" spans="1:13" x14ac:dyDescent="0.2">
      <c r="A70" s="60"/>
      <c r="B70" s="60"/>
      <c r="C70" s="60"/>
      <c r="D70" s="60"/>
      <c r="E70" s="60"/>
      <c r="F70" s="60"/>
      <c r="G70" s="60"/>
      <c r="H70" s="60"/>
      <c r="I70" s="60"/>
      <c r="J70" s="60"/>
      <c r="K70" s="60"/>
      <c r="L70" s="60"/>
      <c r="M70" s="60"/>
    </row>
    <row r="71" spans="1:13" x14ac:dyDescent="0.2">
      <c r="A71" s="60"/>
      <c r="B71" s="60"/>
      <c r="C71" s="60"/>
      <c r="D71" s="60"/>
      <c r="E71" s="60"/>
      <c r="F71" s="60"/>
      <c r="G71" s="60"/>
      <c r="H71" s="60"/>
      <c r="I71" s="60"/>
      <c r="J71" s="60"/>
      <c r="K71" s="60"/>
      <c r="L71" s="60"/>
      <c r="M71" s="60"/>
    </row>
    <row r="72" spans="1:13" x14ac:dyDescent="0.2">
      <c r="A72" s="60"/>
      <c r="B72" s="60"/>
      <c r="C72" s="60"/>
      <c r="D72" s="60"/>
      <c r="E72" s="60"/>
      <c r="F72" s="60"/>
      <c r="G72" s="60"/>
      <c r="H72" s="60"/>
      <c r="I72" s="60"/>
      <c r="J72" s="60"/>
      <c r="K72" s="60"/>
      <c r="L72" s="60"/>
      <c r="M72" s="60"/>
    </row>
    <row r="73" spans="1:13" x14ac:dyDescent="0.2">
      <c r="A73" s="60"/>
      <c r="B73" s="60"/>
      <c r="C73" s="60"/>
      <c r="D73" s="60"/>
      <c r="E73" s="60"/>
      <c r="F73" s="60"/>
      <c r="G73" s="60"/>
      <c r="H73" s="60"/>
      <c r="I73" s="60"/>
      <c r="J73" s="60"/>
      <c r="K73" s="60"/>
      <c r="L73" s="60"/>
      <c r="M73" s="60"/>
    </row>
    <row r="74" spans="1:13" x14ac:dyDescent="0.2">
      <c r="A74" s="60"/>
      <c r="B74" s="60"/>
      <c r="C74" s="60"/>
      <c r="D74" s="60"/>
      <c r="E74" s="60"/>
      <c r="F74" s="60"/>
      <c r="G74" s="60"/>
      <c r="H74" s="60"/>
      <c r="I74" s="60"/>
      <c r="J74" s="60"/>
      <c r="K74" s="60"/>
      <c r="L74" s="60"/>
      <c r="M74" s="60"/>
    </row>
    <row r="75" spans="1:13" x14ac:dyDescent="0.2">
      <c r="A75" s="60"/>
      <c r="B75" s="60"/>
      <c r="C75" s="60"/>
      <c r="D75" s="60"/>
      <c r="E75" s="60"/>
      <c r="F75" s="60"/>
      <c r="G75" s="60"/>
      <c r="H75" s="60"/>
      <c r="I75" s="60"/>
      <c r="J75" s="60"/>
      <c r="K75" s="60"/>
      <c r="L75" s="60"/>
      <c r="M75" s="60"/>
    </row>
    <row r="76" spans="1:13" x14ac:dyDescent="0.2">
      <c r="A76" s="60"/>
      <c r="B76" s="60"/>
      <c r="C76" s="60"/>
      <c r="D76" s="60"/>
      <c r="E76" s="60"/>
      <c r="F76" s="60"/>
      <c r="G76" s="60"/>
      <c r="H76" s="60"/>
      <c r="I76" s="60"/>
      <c r="J76" s="60"/>
      <c r="K76" s="60"/>
      <c r="L76" s="60"/>
      <c r="M76" s="60"/>
    </row>
    <row r="77" spans="1:13" x14ac:dyDescent="0.2">
      <c r="A77" s="60"/>
      <c r="B77" s="60"/>
      <c r="C77" s="60"/>
      <c r="D77" s="60"/>
      <c r="E77" s="60"/>
      <c r="F77" s="60"/>
      <c r="G77" s="60"/>
      <c r="H77" s="60"/>
      <c r="I77" s="60"/>
      <c r="J77" s="60"/>
      <c r="K77" s="60"/>
      <c r="L77" s="60"/>
      <c r="M77" s="60"/>
    </row>
    <row r="78" spans="1:13" x14ac:dyDescent="0.2">
      <c r="A78" s="60"/>
      <c r="B78" s="60"/>
      <c r="C78" s="60"/>
      <c r="D78" s="60"/>
      <c r="E78" s="60"/>
      <c r="F78" s="60"/>
      <c r="G78" s="60"/>
      <c r="H78" s="60"/>
      <c r="I78" s="60"/>
      <c r="J78" s="60"/>
      <c r="K78" s="60"/>
      <c r="L78" s="60"/>
      <c r="M78" s="60"/>
    </row>
    <row r="79" spans="1:13" x14ac:dyDescent="0.2">
      <c r="A79" s="60"/>
      <c r="B79" s="60"/>
      <c r="C79" s="60"/>
      <c r="D79" s="60"/>
      <c r="E79" s="60"/>
      <c r="F79" s="60"/>
      <c r="G79" s="60"/>
      <c r="H79" s="60"/>
      <c r="I79" s="60"/>
      <c r="J79" s="60"/>
      <c r="K79" s="60"/>
      <c r="L79" s="60"/>
      <c r="M79" s="60"/>
    </row>
    <row r="80" spans="1:13" x14ac:dyDescent="0.2">
      <c r="A80" s="60"/>
      <c r="B80" s="60"/>
      <c r="C80" s="60"/>
      <c r="D80" s="60"/>
      <c r="E80" s="60"/>
      <c r="F80" s="60"/>
      <c r="G80" s="60"/>
      <c r="H80" s="60"/>
      <c r="I80" s="60"/>
      <c r="J80" s="60"/>
      <c r="K80" s="60"/>
      <c r="L80" s="60"/>
      <c r="M80" s="60"/>
    </row>
    <row r="81" spans="1:13" x14ac:dyDescent="0.2">
      <c r="A81" s="60"/>
      <c r="B81" s="60"/>
      <c r="C81" s="60"/>
      <c r="D81" s="60"/>
      <c r="E81" s="60"/>
      <c r="F81" s="60"/>
      <c r="G81" s="60"/>
      <c r="H81" s="60"/>
      <c r="I81" s="60"/>
      <c r="J81" s="60"/>
      <c r="K81" s="60"/>
      <c r="L81" s="60"/>
      <c r="M81" s="60"/>
    </row>
    <row r="82" spans="1:13" x14ac:dyDescent="0.2">
      <c r="A82" s="60"/>
      <c r="B82" s="60"/>
      <c r="C82" s="60"/>
      <c r="D82" s="60"/>
      <c r="E82" s="60"/>
      <c r="F82" s="60"/>
      <c r="G82" s="60"/>
      <c r="H82" s="60"/>
      <c r="I82" s="60"/>
      <c r="J82" s="60"/>
      <c r="K82" s="60"/>
      <c r="L82" s="60"/>
      <c r="M82" s="60"/>
    </row>
    <row r="83" spans="1:13" x14ac:dyDescent="0.2">
      <c r="A83" s="60"/>
      <c r="B83" s="60"/>
      <c r="C83" s="60"/>
      <c r="D83" s="60"/>
      <c r="E83" s="60"/>
      <c r="F83" s="60"/>
      <c r="G83" s="60"/>
      <c r="H83" s="60"/>
      <c r="I83" s="60"/>
      <c r="J83" s="60"/>
      <c r="K83" s="60"/>
      <c r="L83" s="60"/>
      <c r="M83" s="60"/>
    </row>
    <row r="84" spans="1:13" x14ac:dyDescent="0.2">
      <c r="A84" s="60"/>
      <c r="B84" s="60"/>
      <c r="C84" s="60"/>
      <c r="D84" s="60"/>
      <c r="E84" s="60"/>
      <c r="F84" s="60"/>
      <c r="G84" s="60"/>
      <c r="H84" s="60"/>
      <c r="I84" s="60"/>
      <c r="J84" s="60"/>
      <c r="K84" s="60"/>
      <c r="L84" s="60"/>
      <c r="M84" s="60"/>
    </row>
    <row r="85" spans="1:13" x14ac:dyDescent="0.2">
      <c r="A85" s="60"/>
      <c r="B85" s="60"/>
      <c r="C85" s="60"/>
      <c r="D85" s="60"/>
      <c r="E85" s="60"/>
      <c r="F85" s="60"/>
      <c r="G85" s="60"/>
      <c r="H85" s="60"/>
      <c r="I85" s="60"/>
      <c r="J85" s="60"/>
      <c r="K85" s="60"/>
      <c r="L85" s="60"/>
      <c r="M85" s="60"/>
    </row>
    <row r="86" spans="1:13" x14ac:dyDescent="0.2">
      <c r="A86" s="60"/>
      <c r="B86" s="60"/>
      <c r="C86" s="60"/>
      <c r="D86" s="60"/>
      <c r="E86" s="60"/>
      <c r="F86" s="60"/>
      <c r="G86" s="60"/>
      <c r="H86" s="60"/>
      <c r="I86" s="60"/>
      <c r="J86" s="60"/>
      <c r="K86" s="60"/>
      <c r="L86" s="60"/>
      <c r="M86" s="60"/>
    </row>
    <row r="87" spans="1:13" x14ac:dyDescent="0.2">
      <c r="A87" s="60"/>
      <c r="B87" s="60"/>
      <c r="C87" s="60"/>
      <c r="D87" s="60"/>
      <c r="E87" s="60"/>
      <c r="F87" s="60"/>
      <c r="G87" s="60"/>
      <c r="H87" s="60"/>
      <c r="I87" s="60"/>
      <c r="J87" s="60"/>
      <c r="K87" s="60"/>
      <c r="L87" s="60"/>
      <c r="M87" s="60"/>
    </row>
    <row r="88" spans="1:13" x14ac:dyDescent="0.2">
      <c r="A88" s="60"/>
      <c r="B88" s="60"/>
      <c r="C88" s="60"/>
      <c r="D88" s="60"/>
      <c r="E88" s="60"/>
      <c r="F88" s="60"/>
      <c r="G88" s="60"/>
      <c r="H88" s="60"/>
      <c r="I88" s="60"/>
      <c r="J88" s="60"/>
      <c r="K88" s="60"/>
      <c r="L88" s="60"/>
      <c r="M88" s="60"/>
    </row>
    <row r="89" spans="1:13" x14ac:dyDescent="0.2">
      <c r="A89" s="60"/>
      <c r="B89" s="60"/>
      <c r="C89" s="60"/>
      <c r="D89" s="60"/>
      <c r="E89" s="60"/>
      <c r="F89" s="60"/>
      <c r="G89" s="60"/>
      <c r="H89" s="60"/>
      <c r="I89" s="60"/>
      <c r="J89" s="60"/>
      <c r="K89" s="60"/>
      <c r="L89" s="60"/>
      <c r="M89" s="60"/>
    </row>
    <row r="90" spans="1:13" x14ac:dyDescent="0.2">
      <c r="A90" s="60"/>
      <c r="B90" s="60"/>
      <c r="C90" s="60"/>
      <c r="D90" s="60"/>
      <c r="E90" s="60"/>
      <c r="F90" s="60"/>
      <c r="G90" s="60"/>
      <c r="H90" s="60"/>
      <c r="I90" s="60"/>
      <c r="J90" s="60"/>
      <c r="K90" s="60"/>
      <c r="L90" s="60"/>
      <c r="M90" s="60"/>
    </row>
    <row r="91" spans="1:13" x14ac:dyDescent="0.2">
      <c r="A91" s="60"/>
      <c r="B91" s="60"/>
      <c r="C91" s="60"/>
      <c r="D91" s="60"/>
      <c r="E91" s="60"/>
      <c r="F91" s="60"/>
      <c r="G91" s="60"/>
      <c r="H91" s="60"/>
      <c r="I91" s="60"/>
      <c r="J91" s="60"/>
      <c r="K91" s="60"/>
      <c r="L91" s="60"/>
      <c r="M91" s="60"/>
    </row>
    <row r="92" spans="1:13" x14ac:dyDescent="0.2">
      <c r="A92" s="60"/>
      <c r="B92" s="60"/>
      <c r="C92" s="60"/>
      <c r="D92" s="60"/>
      <c r="E92" s="60"/>
      <c r="F92" s="60"/>
      <c r="G92" s="60"/>
      <c r="H92" s="60"/>
      <c r="I92" s="60"/>
      <c r="J92" s="60"/>
      <c r="K92" s="60"/>
      <c r="L92" s="60"/>
      <c r="M92" s="60"/>
    </row>
    <row r="93" spans="1:13" x14ac:dyDescent="0.2">
      <c r="A93" s="60"/>
      <c r="B93" s="60"/>
      <c r="C93" s="60"/>
      <c r="D93" s="60"/>
      <c r="E93" s="60"/>
      <c r="F93" s="60"/>
      <c r="G93" s="60"/>
      <c r="H93" s="60"/>
      <c r="I93" s="60"/>
      <c r="J93" s="60"/>
      <c r="K93" s="60"/>
      <c r="L93" s="60"/>
      <c r="M93" s="60"/>
    </row>
    <row r="94" spans="1:13" x14ac:dyDescent="0.2">
      <c r="A94" s="60"/>
      <c r="B94" s="60"/>
      <c r="C94" s="60"/>
      <c r="D94" s="60"/>
      <c r="E94" s="60"/>
      <c r="F94" s="60"/>
      <c r="G94" s="60"/>
      <c r="H94" s="60"/>
      <c r="I94" s="60"/>
      <c r="J94" s="60"/>
      <c r="K94" s="60"/>
      <c r="L94" s="60"/>
      <c r="M94" s="60"/>
    </row>
    <row r="95" spans="1:13" x14ac:dyDescent="0.2">
      <c r="A95" s="60"/>
      <c r="B95" s="60"/>
      <c r="C95" s="60"/>
      <c r="D95" s="60"/>
      <c r="E95" s="60"/>
      <c r="F95" s="60"/>
      <c r="G95" s="60"/>
      <c r="H95" s="60"/>
      <c r="I95" s="60"/>
      <c r="J95" s="60"/>
      <c r="K95" s="60"/>
      <c r="L95" s="60"/>
      <c r="M95" s="60"/>
    </row>
    <row r="96" spans="1:13" x14ac:dyDescent="0.2">
      <c r="A96" s="60"/>
      <c r="B96" s="60"/>
      <c r="C96" s="60"/>
      <c r="D96" s="60"/>
      <c r="E96" s="60"/>
      <c r="F96" s="60"/>
      <c r="G96" s="60"/>
      <c r="H96" s="60"/>
      <c r="I96" s="60"/>
      <c r="J96" s="60"/>
      <c r="K96" s="60"/>
      <c r="L96" s="60"/>
      <c r="M96" s="60"/>
    </row>
    <row r="97" spans="1:13" x14ac:dyDescent="0.2">
      <c r="A97" s="60"/>
      <c r="B97" s="60"/>
      <c r="C97" s="60"/>
      <c r="D97" s="60"/>
      <c r="E97" s="60"/>
      <c r="F97" s="60"/>
      <c r="G97" s="60"/>
      <c r="H97" s="60"/>
      <c r="I97" s="60"/>
      <c r="J97" s="60"/>
      <c r="K97" s="60"/>
      <c r="L97" s="60"/>
      <c r="M97" s="60"/>
    </row>
    <row r="98" spans="1:13" x14ac:dyDescent="0.2">
      <c r="A98" s="60"/>
      <c r="B98" s="60"/>
      <c r="C98" s="60"/>
      <c r="D98" s="60"/>
      <c r="E98" s="60"/>
      <c r="F98" s="60"/>
      <c r="G98" s="60"/>
      <c r="H98" s="60"/>
      <c r="I98" s="60"/>
      <c r="J98" s="60"/>
      <c r="K98" s="60"/>
      <c r="L98" s="60"/>
      <c r="M98" s="60"/>
    </row>
    <row r="99" spans="1:13" x14ac:dyDescent="0.2">
      <c r="A99" s="60"/>
      <c r="B99" s="60"/>
      <c r="C99" s="60"/>
      <c r="D99" s="60"/>
      <c r="E99" s="60"/>
      <c r="F99" s="60"/>
      <c r="G99" s="60"/>
      <c r="H99" s="60"/>
      <c r="I99" s="60"/>
      <c r="J99" s="60"/>
      <c r="K99" s="60"/>
      <c r="L99" s="60"/>
      <c r="M99" s="60"/>
    </row>
    <row r="100" spans="1:13" x14ac:dyDescent="0.2">
      <c r="A100" s="60"/>
      <c r="B100" s="60"/>
      <c r="C100" s="60"/>
      <c r="D100" s="60"/>
      <c r="E100" s="60"/>
      <c r="F100" s="60"/>
      <c r="G100" s="60"/>
      <c r="H100" s="60"/>
      <c r="I100" s="60"/>
      <c r="J100" s="60"/>
      <c r="K100" s="60"/>
      <c r="L100" s="60"/>
      <c r="M100" s="60"/>
    </row>
    <row r="101" spans="1:13" x14ac:dyDescent="0.2">
      <c r="A101" s="60"/>
      <c r="B101" s="60"/>
      <c r="C101" s="60"/>
      <c r="D101" s="60"/>
      <c r="E101" s="60"/>
      <c r="F101" s="60"/>
      <c r="G101" s="60"/>
      <c r="H101" s="60"/>
      <c r="I101" s="60"/>
      <c r="J101" s="60"/>
      <c r="K101" s="60"/>
      <c r="L101" s="60"/>
      <c r="M101" s="60"/>
    </row>
    <row r="102" spans="1:13" x14ac:dyDescent="0.2">
      <c r="A102" s="60"/>
      <c r="B102" s="60"/>
      <c r="C102" s="60"/>
      <c r="D102" s="60"/>
      <c r="E102" s="60"/>
      <c r="F102" s="60"/>
      <c r="G102" s="60"/>
      <c r="H102" s="60"/>
      <c r="I102" s="60"/>
      <c r="J102" s="60"/>
      <c r="K102" s="60"/>
      <c r="L102" s="60"/>
      <c r="M102" s="60"/>
    </row>
    <row r="103" spans="1:13" x14ac:dyDescent="0.2">
      <c r="A103" s="60"/>
      <c r="B103" s="60"/>
      <c r="C103" s="60"/>
      <c r="D103" s="60"/>
      <c r="E103" s="60"/>
      <c r="F103" s="60"/>
      <c r="G103" s="60"/>
      <c r="H103" s="60"/>
      <c r="I103" s="60"/>
      <c r="J103" s="60"/>
      <c r="K103" s="60"/>
      <c r="L103" s="60"/>
      <c r="M103" s="60"/>
    </row>
    <row r="104" spans="1:13" x14ac:dyDescent="0.2">
      <c r="A104" s="60"/>
      <c r="B104" s="60"/>
      <c r="C104" s="60"/>
      <c r="D104" s="60"/>
      <c r="E104" s="60"/>
      <c r="F104" s="60"/>
      <c r="G104" s="60"/>
      <c r="H104" s="60"/>
      <c r="I104" s="60"/>
      <c r="J104" s="60"/>
      <c r="K104" s="60"/>
      <c r="L104" s="60"/>
      <c r="M104" s="60"/>
    </row>
    <row r="105" spans="1:13" x14ac:dyDescent="0.2">
      <c r="A105" s="60"/>
      <c r="B105" s="60"/>
      <c r="C105" s="60"/>
      <c r="D105" s="60"/>
      <c r="E105" s="60"/>
      <c r="F105" s="60"/>
      <c r="G105" s="60"/>
      <c r="H105" s="60"/>
      <c r="I105" s="60"/>
      <c r="J105" s="60"/>
      <c r="K105" s="60"/>
      <c r="L105" s="60"/>
      <c r="M105" s="60"/>
    </row>
    <row r="106" spans="1:13" x14ac:dyDescent="0.2">
      <c r="A106" s="60"/>
      <c r="B106" s="60"/>
      <c r="C106" s="60"/>
      <c r="D106" s="60"/>
      <c r="E106" s="60"/>
      <c r="F106" s="60"/>
      <c r="G106" s="60"/>
      <c r="H106" s="60"/>
      <c r="I106" s="60"/>
      <c r="J106" s="60"/>
      <c r="K106" s="60"/>
      <c r="L106" s="60"/>
      <c r="M106" s="60"/>
    </row>
    <row r="107" spans="1:13" x14ac:dyDescent="0.2">
      <c r="A107" s="60"/>
      <c r="B107" s="60"/>
      <c r="C107" s="60"/>
      <c r="D107" s="60"/>
      <c r="E107" s="60"/>
      <c r="F107" s="60"/>
      <c r="G107" s="60"/>
      <c r="H107" s="60"/>
      <c r="I107" s="60"/>
      <c r="J107" s="60"/>
      <c r="K107" s="60"/>
      <c r="L107" s="60"/>
      <c r="M107" s="60"/>
    </row>
    <row r="108" spans="1:13" x14ac:dyDescent="0.2">
      <c r="A108" s="60"/>
      <c r="B108" s="60"/>
      <c r="C108" s="60"/>
      <c r="D108" s="60"/>
      <c r="E108" s="60"/>
      <c r="F108" s="60"/>
      <c r="G108" s="60"/>
      <c r="H108" s="60"/>
      <c r="I108" s="60"/>
      <c r="J108" s="60"/>
      <c r="K108" s="60"/>
      <c r="L108" s="60"/>
      <c r="M108" s="60"/>
    </row>
    <row r="109" spans="1:13" x14ac:dyDescent="0.2">
      <c r="A109" s="60"/>
      <c r="B109" s="60"/>
      <c r="C109" s="60"/>
      <c r="D109" s="60"/>
      <c r="E109" s="60"/>
      <c r="F109" s="60"/>
      <c r="G109" s="60"/>
      <c r="H109" s="60"/>
      <c r="I109" s="60"/>
      <c r="J109" s="60"/>
      <c r="K109" s="60"/>
      <c r="L109" s="60"/>
      <c r="M109" s="60"/>
    </row>
    <row r="110" spans="1:13" x14ac:dyDescent="0.2">
      <c r="A110" s="60"/>
      <c r="B110" s="60"/>
      <c r="C110" s="60"/>
      <c r="D110" s="60"/>
      <c r="E110" s="60"/>
      <c r="F110" s="60"/>
      <c r="G110" s="60"/>
      <c r="H110" s="60"/>
      <c r="I110" s="60"/>
      <c r="J110" s="60"/>
      <c r="K110" s="60"/>
      <c r="L110" s="60"/>
      <c r="M110" s="60"/>
    </row>
    <row r="111" spans="1:13" x14ac:dyDescent="0.2">
      <c r="A111" s="60"/>
      <c r="B111" s="60"/>
      <c r="C111" s="60"/>
      <c r="D111" s="60"/>
      <c r="E111" s="60"/>
      <c r="F111" s="60"/>
      <c r="G111" s="60"/>
      <c r="H111" s="60"/>
      <c r="I111" s="60"/>
      <c r="J111" s="60"/>
      <c r="K111" s="60"/>
      <c r="L111" s="60"/>
      <c r="M111" s="60"/>
    </row>
    <row r="112" spans="1:13" x14ac:dyDescent="0.2">
      <c r="A112" s="60"/>
      <c r="B112" s="60"/>
      <c r="C112" s="60"/>
      <c r="D112" s="60"/>
      <c r="E112" s="60"/>
      <c r="F112" s="60"/>
      <c r="G112" s="60"/>
      <c r="H112" s="60"/>
      <c r="I112" s="60"/>
      <c r="J112" s="60"/>
      <c r="K112" s="60"/>
      <c r="L112" s="60"/>
      <c r="M112" s="60"/>
    </row>
    <row r="113" spans="1:13" x14ac:dyDescent="0.2">
      <c r="A113" s="60"/>
      <c r="B113" s="60"/>
      <c r="C113" s="60"/>
      <c r="D113" s="60"/>
      <c r="E113" s="60"/>
      <c r="F113" s="60"/>
      <c r="G113" s="60"/>
      <c r="H113" s="60"/>
      <c r="I113" s="60"/>
      <c r="J113" s="60"/>
      <c r="K113" s="60"/>
      <c r="L113" s="60"/>
      <c r="M113" s="60"/>
    </row>
    <row r="114" spans="1:13" x14ac:dyDescent="0.2">
      <c r="A114" s="60"/>
      <c r="B114" s="60"/>
      <c r="C114" s="60"/>
      <c r="D114" s="60"/>
      <c r="E114" s="60"/>
      <c r="F114" s="60"/>
      <c r="G114" s="60"/>
      <c r="H114" s="60"/>
      <c r="I114" s="60"/>
      <c r="J114" s="60"/>
      <c r="K114" s="60"/>
      <c r="L114" s="60"/>
      <c r="M114" s="60"/>
    </row>
    <row r="115" spans="1:13" x14ac:dyDescent="0.2">
      <c r="A115" s="60"/>
      <c r="B115" s="60"/>
      <c r="C115" s="60"/>
      <c r="D115" s="60"/>
      <c r="E115" s="60"/>
      <c r="F115" s="60"/>
      <c r="G115" s="60"/>
      <c r="H115" s="60"/>
      <c r="I115" s="60"/>
      <c r="J115" s="60"/>
      <c r="K115" s="60"/>
      <c r="L115" s="60"/>
      <c r="M115" s="60"/>
    </row>
    <row r="116" spans="1:13" x14ac:dyDescent="0.2">
      <c r="A116" s="60"/>
      <c r="B116" s="60"/>
      <c r="C116" s="60"/>
      <c r="D116" s="60"/>
      <c r="E116" s="60"/>
      <c r="F116" s="60"/>
      <c r="G116" s="60"/>
      <c r="H116" s="60"/>
      <c r="I116" s="60"/>
      <c r="J116" s="60"/>
      <c r="K116" s="60"/>
      <c r="L116" s="60"/>
      <c r="M116" s="60"/>
    </row>
    <row r="117" spans="1:13" x14ac:dyDescent="0.2">
      <c r="A117" s="60"/>
      <c r="B117" s="60"/>
      <c r="C117" s="60"/>
      <c r="D117" s="60"/>
      <c r="E117" s="60"/>
      <c r="F117" s="60"/>
      <c r="G117" s="60"/>
      <c r="H117" s="60"/>
      <c r="I117" s="60"/>
      <c r="J117" s="60"/>
      <c r="K117" s="60"/>
      <c r="L117" s="60"/>
      <c r="M117" s="60"/>
    </row>
    <row r="118" spans="1:13" x14ac:dyDescent="0.2">
      <c r="A118" s="60"/>
      <c r="B118" s="60"/>
      <c r="C118" s="60"/>
      <c r="D118" s="60"/>
      <c r="E118" s="60"/>
      <c r="F118" s="60"/>
      <c r="G118" s="60"/>
      <c r="H118" s="60"/>
      <c r="I118" s="60"/>
      <c r="J118" s="60"/>
      <c r="K118" s="60"/>
      <c r="L118" s="60"/>
      <c r="M118" s="60"/>
    </row>
    <row r="119" spans="1:13" x14ac:dyDescent="0.2">
      <c r="A119" s="60"/>
      <c r="B119" s="60"/>
      <c r="C119" s="60"/>
      <c r="D119" s="60"/>
      <c r="E119" s="60"/>
      <c r="F119" s="60"/>
      <c r="G119" s="60"/>
      <c r="H119" s="60"/>
      <c r="I119" s="60"/>
      <c r="J119" s="60"/>
      <c r="K119" s="60"/>
      <c r="L119" s="60"/>
      <c r="M119" s="60"/>
    </row>
    <row r="120" spans="1:13" x14ac:dyDescent="0.2">
      <c r="A120" s="60"/>
      <c r="B120" s="60"/>
      <c r="C120" s="60"/>
      <c r="D120" s="60"/>
      <c r="E120" s="60"/>
      <c r="F120" s="60"/>
      <c r="G120" s="60"/>
      <c r="H120" s="60"/>
      <c r="I120" s="60"/>
      <c r="J120" s="60"/>
      <c r="K120" s="60"/>
      <c r="L120" s="60"/>
      <c r="M120" s="60"/>
    </row>
    <row r="121" spans="1:13" x14ac:dyDescent="0.2">
      <c r="A121" s="60"/>
      <c r="B121" s="60"/>
      <c r="C121" s="60"/>
      <c r="D121" s="60"/>
      <c r="E121" s="60"/>
      <c r="F121" s="60"/>
      <c r="G121" s="60"/>
      <c r="H121" s="60"/>
      <c r="I121" s="60"/>
      <c r="J121" s="60"/>
      <c r="K121" s="60"/>
      <c r="L121" s="60"/>
      <c r="M121" s="60"/>
    </row>
  </sheetData>
  <phoneticPr fontId="0" type="noConversion"/>
  <pageMargins left="0" right="0" top="0.5" bottom="0.5" header="0.5" footer="0.5"/>
  <pageSetup scale="87" orientation="landscape" r:id="rId1"/>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2:U102"/>
  <sheetViews>
    <sheetView zoomScaleNormal="100" workbookViewId="0">
      <pane xSplit="2" ySplit="6" topLeftCell="G70" activePane="bottomRight" state="frozen"/>
      <selection activeCell="A3" sqref="A3:IV5"/>
      <selection pane="topRight" activeCell="A3" sqref="A3:IV5"/>
      <selection pane="bottomLeft" activeCell="A3" sqref="A3:IV5"/>
      <selection pane="bottomRight" activeCell="O97" sqref="O97"/>
    </sheetView>
  </sheetViews>
  <sheetFormatPr defaultColWidth="9.140625" defaultRowHeight="11.25" x14ac:dyDescent="0.2"/>
  <cols>
    <col min="1" max="1" width="6" style="60" customWidth="1"/>
    <col min="2" max="2" width="17.85546875" style="60" customWidth="1"/>
    <col min="3" max="4" width="9.85546875" style="60" customWidth="1"/>
    <col min="5" max="5" width="11.28515625" style="60" customWidth="1"/>
    <col min="6" max="7" width="9.5703125" style="60" customWidth="1"/>
    <col min="8" max="8" width="9.85546875" style="60" customWidth="1"/>
    <col min="9" max="9" width="10.42578125" style="60" customWidth="1"/>
    <col min="10" max="10" width="10.7109375" style="60" customWidth="1"/>
    <col min="11" max="14" width="9.140625" style="60"/>
    <col min="15" max="15" width="10.7109375" style="60" bestFit="1" customWidth="1"/>
    <col min="16" max="16" width="11.140625" style="60" customWidth="1"/>
    <col min="17" max="17" width="9.85546875" style="60" customWidth="1"/>
    <col min="18" max="18" width="10" style="60" customWidth="1"/>
    <col min="19" max="16384" width="9.140625" style="60"/>
  </cols>
  <sheetData>
    <row r="2" spans="1:16" x14ac:dyDescent="0.2">
      <c r="B2" s="78" t="str">
        <f>WUTC_KENT_SF!A1</f>
        <v>Kent-Meridian Disposal</v>
      </c>
      <c r="C2" s="79"/>
    </row>
    <row r="3" spans="1:16" x14ac:dyDescent="0.2">
      <c r="B3" s="78" t="str">
        <f>WUTC_KENT_SF!A4</f>
        <v>Single Family</v>
      </c>
      <c r="C3" s="79"/>
    </row>
    <row r="4" spans="1:16" x14ac:dyDescent="0.2">
      <c r="C4" s="80"/>
      <c r="D4" s="80"/>
      <c r="E4" s="80"/>
      <c r="F4" s="80"/>
      <c r="G4" s="80"/>
      <c r="H4" s="81"/>
      <c r="I4" s="81"/>
      <c r="J4" s="78"/>
    </row>
    <row r="5" spans="1:16" x14ac:dyDescent="0.2">
      <c r="C5" s="80"/>
      <c r="D5" s="80"/>
      <c r="E5" s="80"/>
      <c r="F5" s="80"/>
      <c r="G5" s="80"/>
      <c r="H5" s="81"/>
      <c r="I5" s="81"/>
      <c r="J5" s="80"/>
    </row>
    <row r="6" spans="1:16" ht="9.9499999999999993" customHeight="1" x14ac:dyDescent="0.2">
      <c r="C6" s="82">
        <v>41760</v>
      </c>
      <c r="D6" s="83">
        <f t="shared" ref="D6:N6" si="0">EOMONTH(C6,1)</f>
        <v>41820</v>
      </c>
      <c r="E6" s="83">
        <f t="shared" si="0"/>
        <v>41851</v>
      </c>
      <c r="F6" s="83">
        <f t="shared" si="0"/>
        <v>41882</v>
      </c>
      <c r="G6" s="83">
        <f t="shared" si="0"/>
        <v>41912</v>
      </c>
      <c r="H6" s="83">
        <f t="shared" si="0"/>
        <v>41943</v>
      </c>
      <c r="I6" s="83">
        <f t="shared" si="0"/>
        <v>41973</v>
      </c>
      <c r="J6" s="83">
        <f t="shared" si="0"/>
        <v>42004</v>
      </c>
      <c r="K6" s="83">
        <f t="shared" si="0"/>
        <v>42035</v>
      </c>
      <c r="L6" s="83">
        <f t="shared" si="0"/>
        <v>42063</v>
      </c>
      <c r="M6" s="83">
        <f t="shared" si="0"/>
        <v>42094</v>
      </c>
      <c r="N6" s="83">
        <f t="shared" si="0"/>
        <v>42124</v>
      </c>
    </row>
    <row r="7" spans="1:16" s="61" customFormat="1" x14ac:dyDescent="0.2">
      <c r="A7" s="84" t="s">
        <v>34</v>
      </c>
      <c r="C7" s="85">
        <v>616.14393247988869</v>
      </c>
      <c r="D7" s="85">
        <v>590.18159865925577</v>
      </c>
      <c r="E7" s="85">
        <v>557.07622665772067</v>
      </c>
      <c r="F7" s="85">
        <v>580.62892437928667</v>
      </c>
      <c r="G7" s="85">
        <v>633.66579766401424</v>
      </c>
      <c r="H7" s="85">
        <v>595.19346630770269</v>
      </c>
      <c r="I7" s="85">
        <v>489.02983418565748</v>
      </c>
      <c r="J7" s="85">
        <v>594.87058509660631</v>
      </c>
      <c r="K7" s="85">
        <v>633.68652577744297</v>
      </c>
      <c r="L7" s="85">
        <v>487.30258382244733</v>
      </c>
      <c r="M7" s="85">
        <v>554.26098016863659</v>
      </c>
      <c r="N7" s="85">
        <v>580.25001957029224</v>
      </c>
    </row>
    <row r="8" spans="1:16" x14ac:dyDescent="0.2">
      <c r="A8" s="60" t="s">
        <v>35</v>
      </c>
      <c r="C8" s="86">
        <v>0</v>
      </c>
      <c r="D8" s="86">
        <v>0</v>
      </c>
      <c r="E8" s="86">
        <v>0</v>
      </c>
      <c r="F8" s="86">
        <v>0</v>
      </c>
      <c r="G8" s="86">
        <v>0</v>
      </c>
      <c r="H8" s="86">
        <v>0</v>
      </c>
      <c r="I8" s="86">
        <v>0</v>
      </c>
      <c r="J8" s="86">
        <v>0</v>
      </c>
      <c r="K8" s="86">
        <v>0</v>
      </c>
      <c r="L8" s="86">
        <v>0</v>
      </c>
      <c r="M8" s="86">
        <v>0</v>
      </c>
      <c r="N8" s="86">
        <v>0</v>
      </c>
    </row>
    <row r="9" spans="1:16" x14ac:dyDescent="0.2">
      <c r="A9" s="60" t="s">
        <v>36</v>
      </c>
      <c r="C9" s="87">
        <f t="shared" ref="C9:N9" si="1">+C7*C8</f>
        <v>0</v>
      </c>
      <c r="D9" s="87">
        <f t="shared" si="1"/>
        <v>0</v>
      </c>
      <c r="E9" s="87">
        <f t="shared" si="1"/>
        <v>0</v>
      </c>
      <c r="F9" s="87">
        <f t="shared" si="1"/>
        <v>0</v>
      </c>
      <c r="G9" s="87">
        <f t="shared" si="1"/>
        <v>0</v>
      </c>
      <c r="H9" s="87">
        <f t="shared" si="1"/>
        <v>0</v>
      </c>
      <c r="I9" s="87">
        <f t="shared" si="1"/>
        <v>0</v>
      </c>
      <c r="J9" s="87">
        <f t="shared" si="1"/>
        <v>0</v>
      </c>
      <c r="K9" s="87">
        <f t="shared" si="1"/>
        <v>0</v>
      </c>
      <c r="L9" s="87">
        <f t="shared" si="1"/>
        <v>0</v>
      </c>
      <c r="M9" s="87">
        <f t="shared" si="1"/>
        <v>0</v>
      </c>
      <c r="N9" s="87">
        <f t="shared" si="1"/>
        <v>0</v>
      </c>
    </row>
    <row r="10" spans="1:16" x14ac:dyDescent="0.2">
      <c r="A10" s="78" t="s">
        <v>37</v>
      </c>
      <c r="C10" s="88">
        <f t="shared" ref="C10:N10" si="2">+C7-C9</f>
        <v>616.14393247988869</v>
      </c>
      <c r="D10" s="88">
        <f t="shared" si="2"/>
        <v>590.18159865925577</v>
      </c>
      <c r="E10" s="88">
        <f t="shared" si="2"/>
        <v>557.07622665772067</v>
      </c>
      <c r="F10" s="88">
        <f t="shared" si="2"/>
        <v>580.62892437928667</v>
      </c>
      <c r="G10" s="88">
        <f t="shared" si="2"/>
        <v>633.66579766401424</v>
      </c>
      <c r="H10" s="88">
        <f t="shared" si="2"/>
        <v>595.19346630770269</v>
      </c>
      <c r="I10" s="88">
        <f t="shared" si="2"/>
        <v>489.02983418565748</v>
      </c>
      <c r="J10" s="88">
        <f t="shared" si="2"/>
        <v>594.87058509660631</v>
      </c>
      <c r="K10" s="88">
        <f t="shared" si="2"/>
        <v>633.68652577744297</v>
      </c>
      <c r="L10" s="88">
        <f t="shared" si="2"/>
        <v>487.30258382244733</v>
      </c>
      <c r="M10" s="88">
        <f t="shared" si="2"/>
        <v>554.26098016863659</v>
      </c>
      <c r="N10" s="88">
        <f t="shared" si="2"/>
        <v>580.25001957029224</v>
      </c>
      <c r="O10" s="88">
        <f>SUM(C10:N10)</f>
        <v>6912.2904747689527</v>
      </c>
    </row>
    <row r="12" spans="1:16" x14ac:dyDescent="0.2">
      <c r="A12" s="78" t="s">
        <v>38</v>
      </c>
    </row>
    <row r="13" spans="1:16" s="89" customFormat="1" x14ac:dyDescent="0.2">
      <c r="B13" s="89" t="s">
        <v>24</v>
      </c>
      <c r="C13" s="90">
        <v>0.19500000000000001</v>
      </c>
      <c r="D13" s="90">
        <f>+C13</f>
        <v>0.19500000000000001</v>
      </c>
      <c r="E13" s="90">
        <f t="shared" ref="E13:N13" si="3">+D13</f>
        <v>0.19500000000000001</v>
      </c>
      <c r="F13" s="90">
        <f t="shared" si="3"/>
        <v>0.19500000000000001</v>
      </c>
      <c r="G13" s="90">
        <f t="shared" si="3"/>
        <v>0.19500000000000001</v>
      </c>
      <c r="H13" s="90">
        <f t="shared" si="3"/>
        <v>0.19500000000000001</v>
      </c>
      <c r="I13" s="90">
        <f t="shared" si="3"/>
        <v>0.19500000000000001</v>
      </c>
      <c r="J13" s="90">
        <f t="shared" si="3"/>
        <v>0.19500000000000001</v>
      </c>
      <c r="K13" s="90">
        <f t="shared" si="3"/>
        <v>0.19500000000000001</v>
      </c>
      <c r="L13" s="90">
        <f t="shared" si="3"/>
        <v>0.19500000000000001</v>
      </c>
      <c r="M13" s="90">
        <f t="shared" si="3"/>
        <v>0.19500000000000001</v>
      </c>
      <c r="N13" s="90">
        <f t="shared" si="3"/>
        <v>0.19500000000000001</v>
      </c>
      <c r="P13" s="130"/>
    </row>
    <row r="14" spans="1:16" s="89" customFormat="1" x14ac:dyDescent="0.2">
      <c r="B14" s="89" t="s">
        <v>28</v>
      </c>
      <c r="C14" s="90">
        <v>0.1782</v>
      </c>
      <c r="D14" s="90">
        <f t="shared" ref="D14:N23" si="4">+C14</f>
        <v>0.1782</v>
      </c>
      <c r="E14" s="90">
        <f t="shared" si="4"/>
        <v>0.1782</v>
      </c>
      <c r="F14" s="90">
        <f t="shared" si="4"/>
        <v>0.1782</v>
      </c>
      <c r="G14" s="90">
        <f t="shared" si="4"/>
        <v>0.1782</v>
      </c>
      <c r="H14" s="90">
        <f t="shared" si="4"/>
        <v>0.1782</v>
      </c>
      <c r="I14" s="90">
        <f t="shared" si="4"/>
        <v>0.1782</v>
      </c>
      <c r="J14" s="90">
        <f t="shared" si="4"/>
        <v>0.1782</v>
      </c>
      <c r="K14" s="90">
        <f t="shared" si="4"/>
        <v>0.1782</v>
      </c>
      <c r="L14" s="90">
        <f t="shared" si="4"/>
        <v>0.1782</v>
      </c>
      <c r="M14" s="90">
        <f t="shared" si="4"/>
        <v>0.1782</v>
      </c>
      <c r="N14" s="90">
        <f t="shared" si="4"/>
        <v>0.1782</v>
      </c>
      <c r="P14" s="130"/>
    </row>
    <row r="15" spans="1:16" s="89" customFormat="1" x14ac:dyDescent="0.2">
      <c r="B15" s="89" t="s">
        <v>39</v>
      </c>
      <c r="C15" s="90">
        <v>0</v>
      </c>
      <c r="D15" s="90">
        <f t="shared" si="4"/>
        <v>0</v>
      </c>
      <c r="E15" s="90">
        <f t="shared" si="4"/>
        <v>0</v>
      </c>
      <c r="F15" s="90">
        <f t="shared" si="4"/>
        <v>0</v>
      </c>
      <c r="G15" s="90">
        <f t="shared" si="4"/>
        <v>0</v>
      </c>
      <c r="H15" s="90">
        <f t="shared" si="4"/>
        <v>0</v>
      </c>
      <c r="I15" s="90">
        <f t="shared" si="4"/>
        <v>0</v>
      </c>
      <c r="J15" s="90">
        <f t="shared" si="4"/>
        <v>0</v>
      </c>
      <c r="K15" s="90">
        <f t="shared" si="4"/>
        <v>0</v>
      </c>
      <c r="L15" s="90">
        <f t="shared" si="4"/>
        <v>0</v>
      </c>
      <c r="M15" s="90">
        <f t="shared" si="4"/>
        <v>0</v>
      </c>
      <c r="N15" s="90">
        <f t="shared" si="4"/>
        <v>0</v>
      </c>
      <c r="P15" s="130"/>
    </row>
    <row r="16" spans="1:16" s="89" customFormat="1" x14ac:dyDescent="0.2">
      <c r="B16" s="89" t="s">
        <v>40</v>
      </c>
      <c r="C16" s="90">
        <v>1.6500000000000001E-2</v>
      </c>
      <c r="D16" s="90">
        <f t="shared" si="4"/>
        <v>1.6500000000000001E-2</v>
      </c>
      <c r="E16" s="90">
        <f t="shared" si="4"/>
        <v>1.6500000000000001E-2</v>
      </c>
      <c r="F16" s="90">
        <f t="shared" si="4"/>
        <v>1.6500000000000001E-2</v>
      </c>
      <c r="G16" s="90">
        <f t="shared" si="4"/>
        <v>1.6500000000000001E-2</v>
      </c>
      <c r="H16" s="90">
        <f t="shared" si="4"/>
        <v>1.6500000000000001E-2</v>
      </c>
      <c r="I16" s="90">
        <f t="shared" si="4"/>
        <v>1.6500000000000001E-2</v>
      </c>
      <c r="J16" s="90">
        <f t="shared" si="4"/>
        <v>1.6500000000000001E-2</v>
      </c>
      <c r="K16" s="90">
        <f t="shared" si="4"/>
        <v>1.6500000000000001E-2</v>
      </c>
      <c r="L16" s="90">
        <f t="shared" si="4"/>
        <v>1.6500000000000001E-2</v>
      </c>
      <c r="M16" s="90">
        <f t="shared" si="4"/>
        <v>1.6500000000000001E-2</v>
      </c>
      <c r="N16" s="90">
        <f t="shared" si="4"/>
        <v>1.6500000000000001E-2</v>
      </c>
      <c r="P16" s="130"/>
    </row>
    <row r="17" spans="1:16" s="89" customFormat="1" x14ac:dyDescent="0.2">
      <c r="B17" s="89" t="s">
        <v>41</v>
      </c>
      <c r="C17" s="90">
        <v>4.4900000000000002E-2</v>
      </c>
      <c r="D17" s="90">
        <f t="shared" si="4"/>
        <v>4.4900000000000002E-2</v>
      </c>
      <c r="E17" s="90">
        <f t="shared" si="4"/>
        <v>4.4900000000000002E-2</v>
      </c>
      <c r="F17" s="90">
        <f t="shared" si="4"/>
        <v>4.4900000000000002E-2</v>
      </c>
      <c r="G17" s="90">
        <f t="shared" si="4"/>
        <v>4.4900000000000002E-2</v>
      </c>
      <c r="H17" s="90">
        <f t="shared" si="4"/>
        <v>4.4900000000000002E-2</v>
      </c>
      <c r="I17" s="90">
        <f t="shared" si="4"/>
        <v>4.4900000000000002E-2</v>
      </c>
      <c r="J17" s="90">
        <f t="shared" si="4"/>
        <v>4.4900000000000002E-2</v>
      </c>
      <c r="K17" s="90">
        <f t="shared" si="4"/>
        <v>4.4900000000000002E-2</v>
      </c>
      <c r="L17" s="90">
        <f t="shared" si="4"/>
        <v>4.4900000000000002E-2</v>
      </c>
      <c r="M17" s="90">
        <f t="shared" si="4"/>
        <v>4.4900000000000002E-2</v>
      </c>
      <c r="N17" s="90">
        <f t="shared" si="4"/>
        <v>4.4900000000000002E-2</v>
      </c>
      <c r="P17" s="130"/>
    </row>
    <row r="18" spans="1:16" s="89" customFormat="1" x14ac:dyDescent="0.2">
      <c r="B18" s="89" t="s">
        <v>42</v>
      </c>
      <c r="C18" s="90">
        <v>7.4999999999999997E-3</v>
      </c>
      <c r="D18" s="90">
        <f t="shared" si="4"/>
        <v>7.4999999999999997E-3</v>
      </c>
      <c r="E18" s="90">
        <f t="shared" si="4"/>
        <v>7.4999999999999997E-3</v>
      </c>
      <c r="F18" s="90">
        <f t="shared" si="4"/>
        <v>7.4999999999999997E-3</v>
      </c>
      <c r="G18" s="90">
        <f t="shared" si="4"/>
        <v>7.4999999999999997E-3</v>
      </c>
      <c r="H18" s="90">
        <f t="shared" si="4"/>
        <v>7.4999999999999997E-3</v>
      </c>
      <c r="I18" s="90">
        <f t="shared" si="4"/>
        <v>7.4999999999999997E-3</v>
      </c>
      <c r="J18" s="90">
        <f t="shared" si="4"/>
        <v>7.4999999999999997E-3</v>
      </c>
      <c r="K18" s="90">
        <f t="shared" si="4"/>
        <v>7.4999999999999997E-3</v>
      </c>
      <c r="L18" s="90">
        <f t="shared" si="4"/>
        <v>7.4999999999999997E-3</v>
      </c>
      <c r="M18" s="90">
        <f t="shared" si="4"/>
        <v>7.4999999999999997E-3</v>
      </c>
      <c r="N18" s="90">
        <f t="shared" si="4"/>
        <v>7.4999999999999997E-3</v>
      </c>
      <c r="P18" s="130"/>
    </row>
    <row r="19" spans="1:16" s="89" customFormat="1" x14ac:dyDescent="0.2">
      <c r="B19" s="60" t="s">
        <v>43</v>
      </c>
      <c r="C19" s="90">
        <v>0</v>
      </c>
      <c r="D19" s="90">
        <f t="shared" si="4"/>
        <v>0</v>
      </c>
      <c r="E19" s="90">
        <f t="shared" si="4"/>
        <v>0</v>
      </c>
      <c r="F19" s="90">
        <f t="shared" si="4"/>
        <v>0</v>
      </c>
      <c r="G19" s="90">
        <f t="shared" si="4"/>
        <v>0</v>
      </c>
      <c r="H19" s="90">
        <f t="shared" si="4"/>
        <v>0</v>
      </c>
      <c r="I19" s="90">
        <f t="shared" si="4"/>
        <v>0</v>
      </c>
      <c r="J19" s="90">
        <f t="shared" si="4"/>
        <v>0</v>
      </c>
      <c r="K19" s="90">
        <f t="shared" si="4"/>
        <v>0</v>
      </c>
      <c r="L19" s="90">
        <f t="shared" si="4"/>
        <v>0</v>
      </c>
      <c r="M19" s="90">
        <f t="shared" si="4"/>
        <v>0</v>
      </c>
      <c r="N19" s="90">
        <f t="shared" si="4"/>
        <v>0</v>
      </c>
      <c r="P19" s="130"/>
    </row>
    <row r="20" spans="1:16" s="89" customFormat="1" x14ac:dyDescent="0.2">
      <c r="B20" s="60" t="s">
        <v>22</v>
      </c>
      <c r="C20" s="90">
        <v>0.17680000000000001</v>
      </c>
      <c r="D20" s="90">
        <f t="shared" si="4"/>
        <v>0.17680000000000001</v>
      </c>
      <c r="E20" s="90">
        <f t="shared" si="4"/>
        <v>0.17680000000000001</v>
      </c>
      <c r="F20" s="90">
        <f t="shared" si="4"/>
        <v>0.17680000000000001</v>
      </c>
      <c r="G20" s="90">
        <f t="shared" si="4"/>
        <v>0.17680000000000001</v>
      </c>
      <c r="H20" s="90">
        <f t="shared" si="4"/>
        <v>0.17680000000000001</v>
      </c>
      <c r="I20" s="90">
        <f t="shared" si="4"/>
        <v>0.17680000000000001</v>
      </c>
      <c r="J20" s="90">
        <f t="shared" si="4"/>
        <v>0.17680000000000001</v>
      </c>
      <c r="K20" s="90">
        <f t="shared" si="4"/>
        <v>0.17680000000000001</v>
      </c>
      <c r="L20" s="90">
        <f t="shared" si="4"/>
        <v>0.17680000000000001</v>
      </c>
      <c r="M20" s="90">
        <f t="shared" si="4"/>
        <v>0.17680000000000001</v>
      </c>
      <c r="N20" s="90">
        <f t="shared" si="4"/>
        <v>0.17680000000000001</v>
      </c>
      <c r="P20" s="130"/>
    </row>
    <row r="21" spans="1:16" s="89" customFormat="1" x14ac:dyDescent="0.2">
      <c r="B21" s="89" t="s">
        <v>44</v>
      </c>
      <c r="C21" s="90">
        <v>0</v>
      </c>
      <c r="D21" s="90">
        <f t="shared" si="4"/>
        <v>0</v>
      </c>
      <c r="E21" s="90">
        <f t="shared" si="4"/>
        <v>0</v>
      </c>
      <c r="F21" s="90">
        <f t="shared" si="4"/>
        <v>0</v>
      </c>
      <c r="G21" s="90">
        <f t="shared" si="4"/>
        <v>0</v>
      </c>
      <c r="H21" s="90">
        <f t="shared" si="4"/>
        <v>0</v>
      </c>
      <c r="I21" s="90">
        <f t="shared" si="4"/>
        <v>0</v>
      </c>
      <c r="J21" s="90">
        <f t="shared" si="4"/>
        <v>0</v>
      </c>
      <c r="K21" s="90">
        <f t="shared" si="4"/>
        <v>0</v>
      </c>
      <c r="L21" s="90">
        <f t="shared" si="4"/>
        <v>0</v>
      </c>
      <c r="M21" s="90">
        <f t="shared" si="4"/>
        <v>0</v>
      </c>
      <c r="N21" s="90">
        <f t="shared" si="4"/>
        <v>0</v>
      </c>
      <c r="P21" s="130"/>
    </row>
    <row r="22" spans="1:16" s="89" customFormat="1" x14ac:dyDescent="0.2">
      <c r="B22" s="89" t="s">
        <v>45</v>
      </c>
      <c r="C22" s="90">
        <v>5.930000000000013E-2</v>
      </c>
      <c r="D22" s="90">
        <f t="shared" si="4"/>
        <v>5.930000000000013E-2</v>
      </c>
      <c r="E22" s="90">
        <f t="shared" si="4"/>
        <v>5.930000000000013E-2</v>
      </c>
      <c r="F22" s="90">
        <f t="shared" si="4"/>
        <v>5.930000000000013E-2</v>
      </c>
      <c r="G22" s="90">
        <f t="shared" si="4"/>
        <v>5.930000000000013E-2</v>
      </c>
      <c r="H22" s="90">
        <f t="shared" si="4"/>
        <v>5.930000000000013E-2</v>
      </c>
      <c r="I22" s="90">
        <f t="shared" si="4"/>
        <v>5.930000000000013E-2</v>
      </c>
      <c r="J22" s="90">
        <f t="shared" si="4"/>
        <v>5.930000000000013E-2</v>
      </c>
      <c r="K22" s="90">
        <f t="shared" si="4"/>
        <v>5.930000000000013E-2</v>
      </c>
      <c r="L22" s="90">
        <f t="shared" si="4"/>
        <v>5.930000000000013E-2</v>
      </c>
      <c r="M22" s="90">
        <f t="shared" si="4"/>
        <v>5.930000000000013E-2</v>
      </c>
      <c r="N22" s="90">
        <f t="shared" si="4"/>
        <v>5.930000000000013E-2</v>
      </c>
      <c r="P22" s="130"/>
    </row>
    <row r="23" spans="1:16" s="89" customFormat="1" x14ac:dyDescent="0.2">
      <c r="B23" s="89" t="s">
        <v>46</v>
      </c>
      <c r="C23" s="91">
        <v>0.32179999999999997</v>
      </c>
      <c r="D23" s="90">
        <f t="shared" si="4"/>
        <v>0.32179999999999997</v>
      </c>
      <c r="E23" s="90">
        <f t="shared" si="4"/>
        <v>0.32179999999999997</v>
      </c>
      <c r="F23" s="90">
        <f t="shared" si="4"/>
        <v>0.32179999999999997</v>
      </c>
      <c r="G23" s="90">
        <f t="shared" si="4"/>
        <v>0.32179999999999997</v>
      </c>
      <c r="H23" s="90">
        <f t="shared" si="4"/>
        <v>0.32179999999999997</v>
      </c>
      <c r="I23" s="90">
        <f t="shared" si="4"/>
        <v>0.32179999999999997</v>
      </c>
      <c r="J23" s="90">
        <f t="shared" si="4"/>
        <v>0.32179999999999997</v>
      </c>
      <c r="K23" s="90">
        <f t="shared" si="4"/>
        <v>0.32179999999999997</v>
      </c>
      <c r="L23" s="90">
        <f t="shared" si="4"/>
        <v>0.32179999999999997</v>
      </c>
      <c r="M23" s="90">
        <f t="shared" si="4"/>
        <v>0.32179999999999997</v>
      </c>
      <c r="N23" s="90">
        <f t="shared" si="4"/>
        <v>0.32179999999999997</v>
      </c>
      <c r="P23" s="130"/>
    </row>
    <row r="24" spans="1:16" x14ac:dyDescent="0.2">
      <c r="C24" s="92">
        <v>1</v>
      </c>
      <c r="D24" s="92">
        <v>1</v>
      </c>
      <c r="E24" s="92">
        <v>1</v>
      </c>
      <c r="F24" s="92">
        <v>1</v>
      </c>
      <c r="G24" s="92">
        <v>1</v>
      </c>
      <c r="H24" s="92">
        <v>1</v>
      </c>
      <c r="I24" s="92">
        <v>1</v>
      </c>
      <c r="J24" s="92">
        <v>1</v>
      </c>
      <c r="K24" s="92">
        <v>1</v>
      </c>
      <c r="L24" s="92">
        <v>1</v>
      </c>
      <c r="M24" s="92">
        <v>1</v>
      </c>
      <c r="N24" s="92">
        <v>1</v>
      </c>
      <c r="P24" s="130"/>
    </row>
    <row r="26" spans="1:16" x14ac:dyDescent="0.2">
      <c r="A26" s="78" t="s">
        <v>47</v>
      </c>
    </row>
    <row r="27" spans="1:16" x14ac:dyDescent="0.2">
      <c r="B27" s="60" t="s">
        <v>24</v>
      </c>
      <c r="C27" s="70">
        <f t="shared" ref="C27:N27" si="5">+C$10*C13</f>
        <v>120.1480668335783</v>
      </c>
      <c r="D27" s="70">
        <f t="shared" si="5"/>
        <v>115.08541173855488</v>
      </c>
      <c r="E27" s="70">
        <f t="shared" si="5"/>
        <v>108.62986419825553</v>
      </c>
      <c r="F27" s="70">
        <f t="shared" si="5"/>
        <v>113.2226402539609</v>
      </c>
      <c r="G27" s="70">
        <f t="shared" si="5"/>
        <v>123.56483054448277</v>
      </c>
      <c r="H27" s="70">
        <f t="shared" si="5"/>
        <v>116.06272593000203</v>
      </c>
      <c r="I27" s="70">
        <f t="shared" si="5"/>
        <v>95.360817666203218</v>
      </c>
      <c r="J27" s="70">
        <f t="shared" si="5"/>
        <v>115.99976409383824</v>
      </c>
      <c r="K27" s="70">
        <f t="shared" si="5"/>
        <v>123.56887252660138</v>
      </c>
      <c r="L27" s="70">
        <f t="shared" si="5"/>
        <v>95.024003845377237</v>
      </c>
      <c r="M27" s="70">
        <f t="shared" si="5"/>
        <v>108.08089113288413</v>
      </c>
      <c r="N27" s="70">
        <f t="shared" si="5"/>
        <v>113.14875381620699</v>
      </c>
    </row>
    <row r="28" spans="1:16" x14ac:dyDescent="0.2">
      <c r="B28" s="60" t="s">
        <v>28</v>
      </c>
      <c r="C28" s="70">
        <f t="shared" ref="C28:N28" si="6">+C$10*C14</f>
        <v>109.79684876791616</v>
      </c>
      <c r="D28" s="70">
        <f t="shared" si="6"/>
        <v>105.17036088107938</v>
      </c>
      <c r="E28" s="70">
        <f t="shared" si="6"/>
        <v>99.27098359040582</v>
      </c>
      <c r="F28" s="70">
        <f t="shared" si="6"/>
        <v>103.46807432438888</v>
      </c>
      <c r="G28" s="70">
        <f t="shared" si="6"/>
        <v>112.91924514372734</v>
      </c>
      <c r="H28" s="70">
        <f t="shared" si="6"/>
        <v>106.06347569603261</v>
      </c>
      <c r="I28" s="70">
        <f t="shared" si="6"/>
        <v>87.145116451884164</v>
      </c>
      <c r="J28" s="70">
        <f t="shared" si="6"/>
        <v>106.00593826421525</v>
      </c>
      <c r="K28" s="70">
        <f t="shared" si="6"/>
        <v>112.92293889354033</v>
      </c>
      <c r="L28" s="70">
        <f t="shared" si="6"/>
        <v>86.837320437160116</v>
      </c>
      <c r="M28" s="70">
        <f t="shared" si="6"/>
        <v>98.769306666051037</v>
      </c>
      <c r="N28" s="70">
        <f t="shared" si="6"/>
        <v>103.40055348742608</v>
      </c>
    </row>
    <row r="29" spans="1:16" x14ac:dyDescent="0.2">
      <c r="B29" s="60" t="s">
        <v>39</v>
      </c>
      <c r="C29" s="70">
        <f t="shared" ref="C29:N29" si="7">+C$10*C15</f>
        <v>0</v>
      </c>
      <c r="D29" s="70">
        <f t="shared" si="7"/>
        <v>0</v>
      </c>
      <c r="E29" s="70">
        <f t="shared" si="7"/>
        <v>0</v>
      </c>
      <c r="F29" s="70">
        <f t="shared" si="7"/>
        <v>0</v>
      </c>
      <c r="G29" s="70">
        <f t="shared" si="7"/>
        <v>0</v>
      </c>
      <c r="H29" s="70">
        <f t="shared" si="7"/>
        <v>0</v>
      </c>
      <c r="I29" s="70">
        <f t="shared" si="7"/>
        <v>0</v>
      </c>
      <c r="J29" s="70">
        <f t="shared" si="7"/>
        <v>0</v>
      </c>
      <c r="K29" s="70">
        <f t="shared" si="7"/>
        <v>0</v>
      </c>
      <c r="L29" s="70">
        <f t="shared" si="7"/>
        <v>0</v>
      </c>
      <c r="M29" s="70">
        <f t="shared" si="7"/>
        <v>0</v>
      </c>
      <c r="N29" s="70">
        <f t="shared" si="7"/>
        <v>0</v>
      </c>
    </row>
    <row r="30" spans="1:16" x14ac:dyDescent="0.2">
      <c r="B30" s="60" t="s">
        <v>40</v>
      </c>
      <c r="C30" s="70">
        <f t="shared" ref="C30:N30" si="8">+C$10*C16</f>
        <v>10.166374885918163</v>
      </c>
      <c r="D30" s="70">
        <f t="shared" si="8"/>
        <v>9.737996377877721</v>
      </c>
      <c r="E30" s="70">
        <f t="shared" si="8"/>
        <v>9.1917577398523918</v>
      </c>
      <c r="F30" s="70">
        <f t="shared" si="8"/>
        <v>9.5803772522582307</v>
      </c>
      <c r="G30" s="70">
        <f t="shared" si="8"/>
        <v>10.455485661456235</v>
      </c>
      <c r="H30" s="70">
        <f t="shared" si="8"/>
        <v>9.820692194077095</v>
      </c>
      <c r="I30" s="70">
        <f t="shared" si="8"/>
        <v>8.0689922640633487</v>
      </c>
      <c r="J30" s="70">
        <f t="shared" si="8"/>
        <v>9.8153646540940045</v>
      </c>
      <c r="K30" s="70">
        <f t="shared" si="8"/>
        <v>10.455827675327809</v>
      </c>
      <c r="L30" s="70">
        <f t="shared" si="8"/>
        <v>8.0404926330703805</v>
      </c>
      <c r="M30" s="70">
        <f t="shared" si="8"/>
        <v>9.1453061727825045</v>
      </c>
      <c r="N30" s="70">
        <f t="shared" si="8"/>
        <v>9.574125322909822</v>
      </c>
    </row>
    <row r="31" spans="1:16" x14ac:dyDescent="0.2">
      <c r="B31" s="60" t="s">
        <v>41</v>
      </c>
      <c r="C31" s="70">
        <f t="shared" ref="C31:N31" si="9">+C$10*C17</f>
        <v>27.664862568347004</v>
      </c>
      <c r="D31" s="70">
        <f t="shared" si="9"/>
        <v>26.499153779800587</v>
      </c>
      <c r="E31" s="70">
        <f t="shared" si="9"/>
        <v>25.012722576931658</v>
      </c>
      <c r="F31" s="70">
        <f t="shared" si="9"/>
        <v>26.070238704629972</v>
      </c>
      <c r="G31" s="70">
        <f t="shared" si="9"/>
        <v>28.451594315114242</v>
      </c>
      <c r="H31" s="70">
        <f t="shared" si="9"/>
        <v>26.724186637215851</v>
      </c>
      <c r="I31" s="70">
        <f t="shared" si="9"/>
        <v>21.957439554936023</v>
      </c>
      <c r="J31" s="70">
        <f t="shared" si="9"/>
        <v>26.709689270837625</v>
      </c>
      <c r="K31" s="70">
        <f t="shared" si="9"/>
        <v>28.452525007407189</v>
      </c>
      <c r="L31" s="70">
        <f t="shared" si="9"/>
        <v>21.879886013627885</v>
      </c>
      <c r="M31" s="70">
        <f t="shared" si="9"/>
        <v>24.886318009571784</v>
      </c>
      <c r="N31" s="70">
        <f t="shared" si="9"/>
        <v>26.053225878706122</v>
      </c>
    </row>
    <row r="32" spans="1:16" x14ac:dyDescent="0.2">
      <c r="B32" s="60" t="s">
        <v>42</v>
      </c>
      <c r="C32" s="70">
        <f t="shared" ref="C32:N32" si="10">+C$10*C18</f>
        <v>4.621079493599165</v>
      </c>
      <c r="D32" s="70">
        <f t="shared" si="10"/>
        <v>4.426361989944418</v>
      </c>
      <c r="E32" s="70">
        <f t="shared" si="10"/>
        <v>4.1780716999329046</v>
      </c>
      <c r="F32" s="70">
        <f t="shared" si="10"/>
        <v>4.3547169328446502</v>
      </c>
      <c r="G32" s="70">
        <f t="shared" si="10"/>
        <v>4.7524934824801068</v>
      </c>
      <c r="H32" s="70">
        <f t="shared" si="10"/>
        <v>4.4639509973077702</v>
      </c>
      <c r="I32" s="70">
        <f t="shared" si="10"/>
        <v>3.667723756392431</v>
      </c>
      <c r="J32" s="70">
        <f t="shared" si="10"/>
        <v>4.4615293882245473</v>
      </c>
      <c r="K32" s="70">
        <f t="shared" si="10"/>
        <v>4.7526489433308221</v>
      </c>
      <c r="L32" s="70">
        <f t="shared" si="10"/>
        <v>3.6547693786683548</v>
      </c>
      <c r="M32" s="70">
        <f t="shared" si="10"/>
        <v>4.1569573512647739</v>
      </c>
      <c r="N32" s="70">
        <f t="shared" si="10"/>
        <v>4.3518751467771919</v>
      </c>
    </row>
    <row r="33" spans="1:14" x14ac:dyDescent="0.2">
      <c r="B33" s="60" t="s">
        <v>43</v>
      </c>
      <c r="C33" s="70">
        <f t="shared" ref="C33:N33" si="11">+C$10*C19</f>
        <v>0</v>
      </c>
      <c r="D33" s="70">
        <f t="shared" si="11"/>
        <v>0</v>
      </c>
      <c r="E33" s="70">
        <f t="shared" si="11"/>
        <v>0</v>
      </c>
      <c r="F33" s="70">
        <f t="shared" si="11"/>
        <v>0</v>
      </c>
      <c r="G33" s="70">
        <f t="shared" si="11"/>
        <v>0</v>
      </c>
      <c r="H33" s="70">
        <f t="shared" si="11"/>
        <v>0</v>
      </c>
      <c r="I33" s="70">
        <f t="shared" si="11"/>
        <v>0</v>
      </c>
      <c r="J33" s="70">
        <f t="shared" si="11"/>
        <v>0</v>
      </c>
      <c r="K33" s="70">
        <f t="shared" si="11"/>
        <v>0</v>
      </c>
      <c r="L33" s="70">
        <f t="shared" si="11"/>
        <v>0</v>
      </c>
      <c r="M33" s="70">
        <f t="shared" si="11"/>
        <v>0</v>
      </c>
      <c r="N33" s="70">
        <f t="shared" si="11"/>
        <v>0</v>
      </c>
    </row>
    <row r="34" spans="1:14" x14ac:dyDescent="0.2">
      <c r="B34" s="60" t="s">
        <v>22</v>
      </c>
      <c r="C34" s="70">
        <f t="shared" ref="C34:N34" si="12">+C$10*C20</f>
        <v>108.93424726244433</v>
      </c>
      <c r="D34" s="70">
        <f t="shared" si="12"/>
        <v>104.34410664295643</v>
      </c>
      <c r="E34" s="70">
        <f t="shared" si="12"/>
        <v>98.491076873085021</v>
      </c>
      <c r="F34" s="70">
        <f t="shared" si="12"/>
        <v>102.65519383025789</v>
      </c>
      <c r="G34" s="70">
        <f t="shared" si="12"/>
        <v>112.03211302699772</v>
      </c>
      <c r="H34" s="70">
        <f t="shared" si="12"/>
        <v>105.23020484320185</v>
      </c>
      <c r="I34" s="70">
        <f t="shared" si="12"/>
        <v>86.460474684024248</v>
      </c>
      <c r="J34" s="70">
        <f t="shared" si="12"/>
        <v>105.17311944508</v>
      </c>
      <c r="K34" s="70">
        <f t="shared" si="12"/>
        <v>112.03577775745192</v>
      </c>
      <c r="L34" s="70">
        <f t="shared" si="12"/>
        <v>86.155096819808691</v>
      </c>
      <c r="M34" s="70">
        <f t="shared" si="12"/>
        <v>97.99334129381495</v>
      </c>
      <c r="N34" s="70">
        <f t="shared" si="12"/>
        <v>102.58820346002767</v>
      </c>
    </row>
    <row r="35" spans="1:14" x14ac:dyDescent="0.2">
      <c r="B35" s="60" t="s">
        <v>44</v>
      </c>
      <c r="C35" s="70">
        <f t="shared" ref="C35:N35" si="13">+C$10*C21</f>
        <v>0</v>
      </c>
      <c r="D35" s="70">
        <f t="shared" si="13"/>
        <v>0</v>
      </c>
      <c r="E35" s="70">
        <f t="shared" si="13"/>
        <v>0</v>
      </c>
      <c r="F35" s="70">
        <f t="shared" si="13"/>
        <v>0</v>
      </c>
      <c r="G35" s="70">
        <f t="shared" si="13"/>
        <v>0</v>
      </c>
      <c r="H35" s="70">
        <f t="shared" si="13"/>
        <v>0</v>
      </c>
      <c r="I35" s="70">
        <f t="shared" si="13"/>
        <v>0</v>
      </c>
      <c r="J35" s="70">
        <f t="shared" si="13"/>
        <v>0</v>
      </c>
      <c r="K35" s="70">
        <f t="shared" si="13"/>
        <v>0</v>
      </c>
      <c r="L35" s="70">
        <f t="shared" si="13"/>
        <v>0</v>
      </c>
      <c r="M35" s="70">
        <f t="shared" si="13"/>
        <v>0</v>
      </c>
      <c r="N35" s="70">
        <f t="shared" si="13"/>
        <v>0</v>
      </c>
    </row>
    <row r="36" spans="1:14" x14ac:dyDescent="0.2">
      <c r="B36" s="60" t="s">
        <v>45</v>
      </c>
      <c r="C36" s="70">
        <f t="shared" ref="C36:N36" si="14">+C$10*C22</f>
        <v>36.537335196057477</v>
      </c>
      <c r="D36" s="70">
        <f t="shared" si="14"/>
        <v>34.997768800493944</v>
      </c>
      <c r="E36" s="70">
        <f t="shared" si="14"/>
        <v>33.034620240802909</v>
      </c>
      <c r="F36" s="70">
        <f t="shared" si="14"/>
        <v>34.431295215691776</v>
      </c>
      <c r="G36" s="70">
        <f t="shared" si="14"/>
        <v>37.576381801476124</v>
      </c>
      <c r="H36" s="70">
        <f t="shared" si="14"/>
        <v>35.29497255204685</v>
      </c>
      <c r="I36" s="70">
        <f t="shared" si="14"/>
        <v>28.999469167209551</v>
      </c>
      <c r="J36" s="70">
        <f t="shared" si="14"/>
        <v>35.275825696228829</v>
      </c>
      <c r="K36" s="70">
        <f t="shared" si="14"/>
        <v>37.577610978602451</v>
      </c>
      <c r="L36" s="70">
        <f t="shared" si="14"/>
        <v>28.89704322067119</v>
      </c>
      <c r="M36" s="70">
        <f t="shared" si="14"/>
        <v>32.867676124000219</v>
      </c>
      <c r="N36" s="70">
        <f t="shared" si="14"/>
        <v>34.408826160518409</v>
      </c>
    </row>
    <row r="37" spans="1:14" x14ac:dyDescent="0.2">
      <c r="B37" s="60" t="s">
        <v>46</v>
      </c>
      <c r="C37" s="87">
        <f t="shared" ref="C37:N37" si="15">+C$10*C23</f>
        <v>198.27511747202817</v>
      </c>
      <c r="D37" s="87">
        <f t="shared" si="15"/>
        <v>189.92043844854848</v>
      </c>
      <c r="E37" s="87">
        <f t="shared" si="15"/>
        <v>179.26712973845449</v>
      </c>
      <c r="F37" s="87">
        <f t="shared" si="15"/>
        <v>186.84638786525443</v>
      </c>
      <c r="G37" s="87">
        <f t="shared" si="15"/>
        <v>203.91365368827977</v>
      </c>
      <c r="H37" s="87">
        <f t="shared" si="15"/>
        <v>191.53325745781871</v>
      </c>
      <c r="I37" s="87">
        <f t="shared" si="15"/>
        <v>157.36980064094456</v>
      </c>
      <c r="J37" s="87">
        <f t="shared" si="15"/>
        <v>191.42935428408791</v>
      </c>
      <c r="K37" s="87">
        <f t="shared" si="15"/>
        <v>203.92032399518112</v>
      </c>
      <c r="L37" s="87">
        <f t="shared" si="15"/>
        <v>156.81397147406355</v>
      </c>
      <c r="M37" s="87">
        <f t="shared" si="15"/>
        <v>178.36118341826725</v>
      </c>
      <c r="N37" s="87">
        <f t="shared" si="15"/>
        <v>186.72445629772002</v>
      </c>
    </row>
    <row r="38" spans="1:14" x14ac:dyDescent="0.2">
      <c r="C38" s="70">
        <f t="shared" ref="C38:N38" si="16">SUM(C27:C37)</f>
        <v>616.1439324798888</v>
      </c>
      <c r="D38" s="70">
        <f t="shared" si="16"/>
        <v>590.18159865925588</v>
      </c>
      <c r="E38" s="70">
        <f t="shared" si="16"/>
        <v>557.07622665772067</v>
      </c>
      <c r="F38" s="70">
        <f t="shared" si="16"/>
        <v>580.62892437928667</v>
      </c>
      <c r="G38" s="70">
        <f t="shared" si="16"/>
        <v>633.66579766401435</v>
      </c>
      <c r="H38" s="70">
        <f t="shared" si="16"/>
        <v>595.19346630770269</v>
      </c>
      <c r="I38" s="70">
        <f t="shared" si="16"/>
        <v>489.02983418565759</v>
      </c>
      <c r="J38" s="70">
        <f t="shared" si="16"/>
        <v>594.87058509660642</v>
      </c>
      <c r="K38" s="70">
        <f t="shared" si="16"/>
        <v>633.68652577744297</v>
      </c>
      <c r="L38" s="70">
        <f t="shared" si="16"/>
        <v>487.30258382244745</v>
      </c>
      <c r="M38" s="70">
        <f t="shared" si="16"/>
        <v>554.26098016863671</v>
      </c>
      <c r="N38" s="70">
        <f t="shared" si="16"/>
        <v>580.25001957029235</v>
      </c>
    </row>
    <row r="40" spans="1:14" x14ac:dyDescent="0.2">
      <c r="A40" s="78" t="s">
        <v>48</v>
      </c>
    </row>
    <row r="41" spans="1:14" x14ac:dyDescent="0.2">
      <c r="B41" s="60" t="s">
        <v>24</v>
      </c>
      <c r="C41" s="93">
        <v>1</v>
      </c>
      <c r="D41" s="94">
        <v>1</v>
      </c>
      <c r="E41" s="94">
        <v>1</v>
      </c>
      <c r="F41" s="94">
        <v>1</v>
      </c>
      <c r="G41" s="94">
        <v>1</v>
      </c>
      <c r="H41" s="94">
        <v>1</v>
      </c>
      <c r="I41" s="94">
        <v>1</v>
      </c>
      <c r="J41" s="94">
        <v>1</v>
      </c>
      <c r="K41" s="94">
        <v>1</v>
      </c>
      <c r="L41" s="94">
        <v>1</v>
      </c>
      <c r="M41" s="94">
        <v>1</v>
      </c>
      <c r="N41" s="94">
        <v>1</v>
      </c>
    </row>
    <row r="42" spans="1:14" x14ac:dyDescent="0.2">
      <c r="B42" s="60" t="s">
        <v>28</v>
      </c>
      <c r="C42" s="93">
        <v>1</v>
      </c>
      <c r="D42" s="94">
        <v>1</v>
      </c>
      <c r="E42" s="94">
        <v>1</v>
      </c>
      <c r="F42" s="94">
        <v>1</v>
      </c>
      <c r="G42" s="94">
        <v>1</v>
      </c>
      <c r="H42" s="94">
        <v>1</v>
      </c>
      <c r="I42" s="94">
        <v>1</v>
      </c>
      <c r="J42" s="94">
        <v>1</v>
      </c>
      <c r="K42" s="94">
        <v>1</v>
      </c>
      <c r="L42" s="94">
        <v>1</v>
      </c>
      <c r="M42" s="94">
        <v>1</v>
      </c>
      <c r="N42" s="94">
        <v>1</v>
      </c>
    </row>
    <row r="43" spans="1:14" x14ac:dyDescent="0.2">
      <c r="B43" s="60" t="s">
        <v>39</v>
      </c>
      <c r="C43" s="93">
        <v>1</v>
      </c>
      <c r="D43" s="94">
        <v>1</v>
      </c>
      <c r="E43" s="94">
        <v>1</v>
      </c>
      <c r="F43" s="94">
        <v>1</v>
      </c>
      <c r="G43" s="94">
        <v>1</v>
      </c>
      <c r="H43" s="94">
        <v>1</v>
      </c>
      <c r="I43" s="94">
        <v>1</v>
      </c>
      <c r="J43" s="94">
        <v>1</v>
      </c>
      <c r="K43" s="94">
        <v>1</v>
      </c>
      <c r="L43" s="94">
        <v>1</v>
      </c>
      <c r="M43" s="94">
        <v>1</v>
      </c>
      <c r="N43" s="94">
        <v>1</v>
      </c>
    </row>
    <row r="44" spans="1:14" x14ac:dyDescent="0.2">
      <c r="B44" s="60" t="s">
        <v>40</v>
      </c>
      <c r="C44" s="93">
        <v>1</v>
      </c>
      <c r="D44" s="94">
        <v>1</v>
      </c>
      <c r="E44" s="94">
        <v>1</v>
      </c>
      <c r="F44" s="94">
        <v>1</v>
      </c>
      <c r="G44" s="94">
        <v>1</v>
      </c>
      <c r="H44" s="94">
        <v>1</v>
      </c>
      <c r="I44" s="94">
        <v>1</v>
      </c>
      <c r="J44" s="94">
        <v>1</v>
      </c>
      <c r="K44" s="94">
        <v>1</v>
      </c>
      <c r="L44" s="94">
        <v>1</v>
      </c>
      <c r="M44" s="94">
        <v>1</v>
      </c>
      <c r="N44" s="94">
        <v>1</v>
      </c>
    </row>
    <row r="45" spans="1:14" x14ac:dyDescent="0.2">
      <c r="B45" s="60" t="s">
        <v>41</v>
      </c>
      <c r="C45" s="93">
        <v>1</v>
      </c>
      <c r="D45" s="94">
        <v>1</v>
      </c>
      <c r="E45" s="94">
        <v>1</v>
      </c>
      <c r="F45" s="94">
        <v>1</v>
      </c>
      <c r="G45" s="94">
        <v>1</v>
      </c>
      <c r="H45" s="94">
        <v>1</v>
      </c>
      <c r="I45" s="94">
        <v>1</v>
      </c>
      <c r="J45" s="94">
        <v>1</v>
      </c>
      <c r="K45" s="94">
        <v>1</v>
      </c>
      <c r="L45" s="94">
        <v>1</v>
      </c>
      <c r="M45" s="94">
        <v>1</v>
      </c>
      <c r="N45" s="94">
        <v>1</v>
      </c>
    </row>
    <row r="46" spans="1:14" x14ac:dyDescent="0.2">
      <c r="B46" s="60" t="s">
        <v>42</v>
      </c>
      <c r="C46" s="93">
        <v>1</v>
      </c>
      <c r="D46" s="94">
        <v>1</v>
      </c>
      <c r="E46" s="94">
        <v>1</v>
      </c>
      <c r="F46" s="94">
        <v>1</v>
      </c>
      <c r="G46" s="94">
        <v>1</v>
      </c>
      <c r="H46" s="94">
        <v>1</v>
      </c>
      <c r="I46" s="94">
        <v>1</v>
      </c>
      <c r="J46" s="94">
        <v>1</v>
      </c>
      <c r="K46" s="94">
        <v>1</v>
      </c>
      <c r="L46" s="94">
        <v>1</v>
      </c>
      <c r="M46" s="94">
        <v>1</v>
      </c>
      <c r="N46" s="94">
        <v>1</v>
      </c>
    </row>
    <row r="47" spans="1:14" x14ac:dyDescent="0.2">
      <c r="B47" s="60" t="s">
        <v>43</v>
      </c>
      <c r="C47" s="93">
        <v>1</v>
      </c>
      <c r="D47" s="94">
        <v>1</v>
      </c>
      <c r="E47" s="94">
        <v>1</v>
      </c>
      <c r="F47" s="94">
        <v>1</v>
      </c>
      <c r="G47" s="94">
        <v>1</v>
      </c>
      <c r="H47" s="94">
        <v>1</v>
      </c>
      <c r="I47" s="94">
        <v>1</v>
      </c>
      <c r="J47" s="94">
        <v>1</v>
      </c>
      <c r="K47" s="94">
        <v>1</v>
      </c>
      <c r="L47" s="94">
        <v>1</v>
      </c>
      <c r="M47" s="94">
        <v>1</v>
      </c>
      <c r="N47" s="94">
        <v>1</v>
      </c>
    </row>
    <row r="48" spans="1:14" x14ac:dyDescent="0.2">
      <c r="B48" s="60" t="s">
        <v>22</v>
      </c>
      <c r="C48" s="93">
        <v>1</v>
      </c>
      <c r="D48" s="94">
        <v>1</v>
      </c>
      <c r="E48" s="94">
        <v>1</v>
      </c>
      <c r="F48" s="94">
        <v>1</v>
      </c>
      <c r="G48" s="94">
        <v>1</v>
      </c>
      <c r="H48" s="94">
        <v>1</v>
      </c>
      <c r="I48" s="94">
        <v>1</v>
      </c>
      <c r="J48" s="94">
        <v>1</v>
      </c>
      <c r="K48" s="94">
        <v>1</v>
      </c>
      <c r="L48" s="94">
        <v>1</v>
      </c>
      <c r="M48" s="94">
        <v>1</v>
      </c>
      <c r="N48" s="94">
        <v>1</v>
      </c>
    </row>
    <row r="49" spans="1:18" x14ac:dyDescent="0.2">
      <c r="B49" s="60" t="s">
        <v>44</v>
      </c>
      <c r="C49" s="93">
        <v>1</v>
      </c>
      <c r="D49" s="94">
        <v>1</v>
      </c>
      <c r="E49" s="94">
        <v>1</v>
      </c>
      <c r="F49" s="94">
        <v>1</v>
      </c>
      <c r="G49" s="94">
        <v>1</v>
      </c>
      <c r="H49" s="94">
        <v>1</v>
      </c>
      <c r="I49" s="94">
        <v>1</v>
      </c>
      <c r="J49" s="94">
        <v>1</v>
      </c>
      <c r="K49" s="94">
        <v>1</v>
      </c>
      <c r="L49" s="94">
        <v>1</v>
      </c>
      <c r="M49" s="94">
        <v>1</v>
      </c>
      <c r="N49" s="94">
        <v>1</v>
      </c>
    </row>
    <row r="50" spans="1:18" ht="12.75" x14ac:dyDescent="0.2">
      <c r="B50" s="60" t="s">
        <v>45</v>
      </c>
      <c r="C50" s="93">
        <v>1</v>
      </c>
      <c r="D50" s="94">
        <v>1</v>
      </c>
      <c r="E50" s="94">
        <v>1</v>
      </c>
      <c r="F50" s="94">
        <v>1</v>
      </c>
      <c r="G50" s="94">
        <v>1</v>
      </c>
      <c r="H50" s="94">
        <v>1</v>
      </c>
      <c r="I50" s="94">
        <v>1</v>
      </c>
      <c r="J50" s="94">
        <v>1</v>
      </c>
      <c r="K50" s="94">
        <v>1</v>
      </c>
      <c r="L50" s="94">
        <v>1</v>
      </c>
      <c r="M50" s="94">
        <v>1</v>
      </c>
      <c r="N50" s="94">
        <v>1</v>
      </c>
      <c r="R50" s="142"/>
    </row>
    <row r="51" spans="1:18" ht="14.25" customHeight="1" x14ac:dyDescent="0.2">
      <c r="C51" s="92"/>
      <c r="D51" s="94"/>
      <c r="E51" s="94"/>
      <c r="F51" s="94"/>
      <c r="G51" s="94"/>
      <c r="H51" s="94"/>
      <c r="I51" s="94"/>
      <c r="J51" s="94"/>
      <c r="K51" s="94"/>
      <c r="L51" s="94"/>
      <c r="M51" s="94"/>
      <c r="N51" s="94"/>
      <c r="P51" s="105"/>
      <c r="R51" s="142"/>
    </row>
    <row r="52" spans="1:18" ht="12.75" x14ac:dyDescent="0.2">
      <c r="A52" s="60" t="s">
        <v>46</v>
      </c>
      <c r="C52" s="92">
        <f>+C65/C37</f>
        <v>0.99999999999999944</v>
      </c>
      <c r="D52" s="94">
        <v>1</v>
      </c>
      <c r="E52" s="94">
        <v>1</v>
      </c>
      <c r="F52" s="94">
        <v>1</v>
      </c>
      <c r="G52" s="94">
        <v>1</v>
      </c>
      <c r="H52" s="94">
        <v>1</v>
      </c>
      <c r="I52" s="94">
        <v>1</v>
      </c>
      <c r="J52" s="94">
        <v>1</v>
      </c>
      <c r="K52" s="94">
        <v>1</v>
      </c>
      <c r="L52" s="94">
        <v>1</v>
      </c>
      <c r="M52" s="94">
        <v>1</v>
      </c>
      <c r="N52" s="94">
        <v>1</v>
      </c>
      <c r="P52" s="53"/>
      <c r="R52" s="142"/>
    </row>
    <row r="53" spans="1:18" ht="12.75" x14ac:dyDescent="0.2">
      <c r="L53" s="92"/>
      <c r="N53" s="94"/>
      <c r="P53" s="53"/>
      <c r="R53" s="142"/>
    </row>
    <row r="54" spans="1:18" ht="12.75" x14ac:dyDescent="0.2">
      <c r="A54" s="78" t="s">
        <v>49</v>
      </c>
      <c r="L54" s="92"/>
      <c r="N54" s="94"/>
      <c r="P54" s="53"/>
      <c r="R54" s="142"/>
    </row>
    <row r="55" spans="1:18" ht="12.75" x14ac:dyDescent="0.2">
      <c r="B55" s="60" t="s">
        <v>24</v>
      </c>
      <c r="C55" s="70">
        <f t="shared" ref="C55:N55" si="17">+C27*C41</f>
        <v>120.1480668335783</v>
      </c>
      <c r="D55" s="70">
        <f t="shared" si="17"/>
        <v>115.08541173855488</v>
      </c>
      <c r="E55" s="70">
        <f t="shared" si="17"/>
        <v>108.62986419825553</v>
      </c>
      <c r="F55" s="70">
        <f t="shared" si="17"/>
        <v>113.2226402539609</v>
      </c>
      <c r="G55" s="70">
        <f t="shared" si="17"/>
        <v>123.56483054448277</v>
      </c>
      <c r="H55" s="70">
        <f t="shared" si="17"/>
        <v>116.06272593000203</v>
      </c>
      <c r="I55" s="70">
        <f t="shared" si="17"/>
        <v>95.360817666203218</v>
      </c>
      <c r="J55" s="70">
        <f t="shared" si="17"/>
        <v>115.99976409383824</v>
      </c>
      <c r="K55" s="70">
        <f t="shared" si="17"/>
        <v>123.56887252660138</v>
      </c>
      <c r="L55" s="70">
        <f t="shared" si="17"/>
        <v>95.024003845377237</v>
      </c>
      <c r="M55" s="70">
        <f t="shared" si="17"/>
        <v>108.08089113288413</v>
      </c>
      <c r="N55" s="70">
        <f t="shared" si="17"/>
        <v>113.14875381620699</v>
      </c>
      <c r="P55" s="53"/>
      <c r="R55" s="142"/>
    </row>
    <row r="56" spans="1:18" ht="12.75" x14ac:dyDescent="0.2">
      <c r="B56" s="60" t="s">
        <v>28</v>
      </c>
      <c r="C56" s="70">
        <f t="shared" ref="C56:N56" si="18">+C28*C42</f>
        <v>109.79684876791616</v>
      </c>
      <c r="D56" s="70">
        <f t="shared" si="18"/>
        <v>105.17036088107938</v>
      </c>
      <c r="E56" s="70">
        <f t="shared" si="18"/>
        <v>99.27098359040582</v>
      </c>
      <c r="F56" s="70">
        <f t="shared" si="18"/>
        <v>103.46807432438888</v>
      </c>
      <c r="G56" s="70">
        <f t="shared" si="18"/>
        <v>112.91924514372734</v>
      </c>
      <c r="H56" s="70">
        <f t="shared" si="18"/>
        <v>106.06347569603261</v>
      </c>
      <c r="I56" s="70">
        <f t="shared" si="18"/>
        <v>87.145116451884164</v>
      </c>
      <c r="J56" s="70">
        <f t="shared" si="18"/>
        <v>106.00593826421525</v>
      </c>
      <c r="K56" s="70">
        <f t="shared" si="18"/>
        <v>112.92293889354033</v>
      </c>
      <c r="L56" s="70">
        <f t="shared" si="18"/>
        <v>86.837320437160116</v>
      </c>
      <c r="M56" s="70">
        <f t="shared" si="18"/>
        <v>98.769306666051037</v>
      </c>
      <c r="N56" s="70">
        <f t="shared" si="18"/>
        <v>103.40055348742608</v>
      </c>
      <c r="P56" s="53"/>
      <c r="R56" s="142"/>
    </row>
    <row r="57" spans="1:18" ht="12.75" x14ac:dyDescent="0.2">
      <c r="B57" s="60" t="s">
        <v>39</v>
      </c>
      <c r="C57" s="70">
        <f t="shared" ref="C57:N57" si="19">+C29*C43</f>
        <v>0</v>
      </c>
      <c r="D57" s="70">
        <f t="shared" si="19"/>
        <v>0</v>
      </c>
      <c r="E57" s="70">
        <f t="shared" si="19"/>
        <v>0</v>
      </c>
      <c r="F57" s="70">
        <f t="shared" si="19"/>
        <v>0</v>
      </c>
      <c r="G57" s="70">
        <f t="shared" si="19"/>
        <v>0</v>
      </c>
      <c r="H57" s="70">
        <f t="shared" si="19"/>
        <v>0</v>
      </c>
      <c r="I57" s="70">
        <f t="shared" si="19"/>
        <v>0</v>
      </c>
      <c r="J57" s="70">
        <f t="shared" si="19"/>
        <v>0</v>
      </c>
      <c r="K57" s="70">
        <f t="shared" si="19"/>
        <v>0</v>
      </c>
      <c r="L57" s="70">
        <f t="shared" si="19"/>
        <v>0</v>
      </c>
      <c r="M57" s="70">
        <f t="shared" si="19"/>
        <v>0</v>
      </c>
      <c r="N57" s="70">
        <f t="shared" si="19"/>
        <v>0</v>
      </c>
      <c r="P57" s="53"/>
      <c r="R57" s="142"/>
    </row>
    <row r="58" spans="1:18" ht="12.75" x14ac:dyDescent="0.2">
      <c r="B58" s="60" t="s">
        <v>40</v>
      </c>
      <c r="C58" s="70">
        <f t="shared" ref="C58:N58" si="20">+C30*C44</f>
        <v>10.166374885918163</v>
      </c>
      <c r="D58" s="70">
        <f t="shared" si="20"/>
        <v>9.737996377877721</v>
      </c>
      <c r="E58" s="70">
        <f t="shared" si="20"/>
        <v>9.1917577398523918</v>
      </c>
      <c r="F58" s="70">
        <f t="shared" si="20"/>
        <v>9.5803772522582307</v>
      </c>
      <c r="G58" s="70">
        <f t="shared" si="20"/>
        <v>10.455485661456235</v>
      </c>
      <c r="H58" s="70">
        <f t="shared" si="20"/>
        <v>9.820692194077095</v>
      </c>
      <c r="I58" s="70">
        <f t="shared" si="20"/>
        <v>8.0689922640633487</v>
      </c>
      <c r="J58" s="70">
        <f t="shared" si="20"/>
        <v>9.8153646540940045</v>
      </c>
      <c r="K58" s="70">
        <f t="shared" si="20"/>
        <v>10.455827675327809</v>
      </c>
      <c r="L58" s="70">
        <f t="shared" si="20"/>
        <v>8.0404926330703805</v>
      </c>
      <c r="M58" s="70">
        <f t="shared" si="20"/>
        <v>9.1453061727825045</v>
      </c>
      <c r="N58" s="70">
        <f t="shared" si="20"/>
        <v>9.574125322909822</v>
      </c>
      <c r="P58" s="53"/>
    </row>
    <row r="59" spans="1:18" ht="12.75" x14ac:dyDescent="0.2">
      <c r="B59" s="60" t="s">
        <v>41</v>
      </c>
      <c r="C59" s="70">
        <f t="shared" ref="C59:N59" si="21">+C31*C45</f>
        <v>27.664862568347004</v>
      </c>
      <c r="D59" s="70">
        <f t="shared" si="21"/>
        <v>26.499153779800587</v>
      </c>
      <c r="E59" s="70">
        <f t="shared" si="21"/>
        <v>25.012722576931658</v>
      </c>
      <c r="F59" s="70">
        <f t="shared" si="21"/>
        <v>26.070238704629972</v>
      </c>
      <c r="G59" s="70">
        <f t="shared" si="21"/>
        <v>28.451594315114242</v>
      </c>
      <c r="H59" s="70">
        <f t="shared" si="21"/>
        <v>26.724186637215851</v>
      </c>
      <c r="I59" s="70">
        <f t="shared" si="21"/>
        <v>21.957439554936023</v>
      </c>
      <c r="J59" s="70">
        <f t="shared" si="21"/>
        <v>26.709689270837625</v>
      </c>
      <c r="K59" s="70">
        <f t="shared" si="21"/>
        <v>28.452525007407189</v>
      </c>
      <c r="L59" s="70">
        <f t="shared" si="21"/>
        <v>21.879886013627885</v>
      </c>
      <c r="M59" s="70">
        <f t="shared" si="21"/>
        <v>24.886318009571784</v>
      </c>
      <c r="N59" s="70">
        <f t="shared" si="21"/>
        <v>26.053225878706122</v>
      </c>
      <c r="P59" s="53"/>
    </row>
    <row r="60" spans="1:18" x14ac:dyDescent="0.2">
      <c r="B60" s="60" t="s">
        <v>42</v>
      </c>
      <c r="C60" s="95">
        <f t="shared" ref="C60:N60" si="22">+C32*C46</f>
        <v>4.621079493599165</v>
      </c>
      <c r="D60" s="95">
        <f t="shared" si="22"/>
        <v>4.426361989944418</v>
      </c>
      <c r="E60" s="95">
        <f t="shared" si="22"/>
        <v>4.1780716999329046</v>
      </c>
      <c r="F60" s="95">
        <f t="shared" si="22"/>
        <v>4.3547169328446502</v>
      </c>
      <c r="G60" s="95">
        <f t="shared" si="22"/>
        <v>4.7524934824801068</v>
      </c>
      <c r="H60" s="95">
        <f t="shared" si="22"/>
        <v>4.4639509973077702</v>
      </c>
      <c r="I60" s="95">
        <f t="shared" si="22"/>
        <v>3.667723756392431</v>
      </c>
      <c r="J60" s="95">
        <f t="shared" si="22"/>
        <v>4.4615293882245473</v>
      </c>
      <c r="K60" s="95">
        <f t="shared" si="22"/>
        <v>4.7526489433308221</v>
      </c>
      <c r="L60" s="95">
        <f t="shared" si="22"/>
        <v>3.6547693786683548</v>
      </c>
      <c r="M60" s="95">
        <f t="shared" si="22"/>
        <v>4.1569573512647739</v>
      </c>
      <c r="N60" s="95">
        <f t="shared" si="22"/>
        <v>4.3518751467771919</v>
      </c>
      <c r="P60" s="105"/>
    </row>
    <row r="61" spans="1:18" x14ac:dyDescent="0.2">
      <c r="B61" s="60" t="s">
        <v>43</v>
      </c>
      <c r="C61" s="70">
        <f t="shared" ref="C61:N61" si="23">+C33*C47</f>
        <v>0</v>
      </c>
      <c r="D61" s="70">
        <f t="shared" si="23"/>
        <v>0</v>
      </c>
      <c r="E61" s="70">
        <f t="shared" si="23"/>
        <v>0</v>
      </c>
      <c r="F61" s="70">
        <f t="shared" si="23"/>
        <v>0</v>
      </c>
      <c r="G61" s="70">
        <f t="shared" si="23"/>
        <v>0</v>
      </c>
      <c r="H61" s="70">
        <f t="shared" si="23"/>
        <v>0</v>
      </c>
      <c r="I61" s="70">
        <f t="shared" si="23"/>
        <v>0</v>
      </c>
      <c r="J61" s="70">
        <f t="shared" si="23"/>
        <v>0</v>
      </c>
      <c r="K61" s="70">
        <f t="shared" si="23"/>
        <v>0</v>
      </c>
      <c r="L61" s="70">
        <f t="shared" si="23"/>
        <v>0</v>
      </c>
      <c r="M61" s="70">
        <f t="shared" si="23"/>
        <v>0</v>
      </c>
      <c r="N61" s="70">
        <f t="shared" si="23"/>
        <v>0</v>
      </c>
    </row>
    <row r="62" spans="1:18" x14ac:dyDescent="0.2">
      <c r="B62" s="60" t="s">
        <v>36</v>
      </c>
      <c r="C62" s="70">
        <f t="shared" ref="C62:N62" si="24">+C34*C48</f>
        <v>108.93424726244433</v>
      </c>
      <c r="D62" s="70">
        <f t="shared" si="24"/>
        <v>104.34410664295643</v>
      </c>
      <c r="E62" s="70">
        <f t="shared" si="24"/>
        <v>98.491076873085021</v>
      </c>
      <c r="F62" s="70">
        <f t="shared" si="24"/>
        <v>102.65519383025789</v>
      </c>
      <c r="G62" s="70">
        <f t="shared" si="24"/>
        <v>112.03211302699772</v>
      </c>
      <c r="H62" s="70">
        <f t="shared" si="24"/>
        <v>105.23020484320185</v>
      </c>
      <c r="I62" s="70">
        <f t="shared" si="24"/>
        <v>86.460474684024248</v>
      </c>
      <c r="J62" s="70">
        <f t="shared" si="24"/>
        <v>105.17311944508</v>
      </c>
      <c r="K62" s="70">
        <f t="shared" si="24"/>
        <v>112.03577775745192</v>
      </c>
      <c r="L62" s="70">
        <f t="shared" si="24"/>
        <v>86.155096819808691</v>
      </c>
      <c r="M62" s="70">
        <f t="shared" si="24"/>
        <v>97.99334129381495</v>
      </c>
      <c r="N62" s="70">
        <f t="shared" si="24"/>
        <v>102.58820346002767</v>
      </c>
    </row>
    <row r="63" spans="1:18" x14ac:dyDescent="0.2">
      <c r="B63" s="60" t="s">
        <v>44</v>
      </c>
      <c r="C63" s="70">
        <f t="shared" ref="C63:N63" si="25">+C35*C49</f>
        <v>0</v>
      </c>
      <c r="D63" s="70">
        <f t="shared" si="25"/>
        <v>0</v>
      </c>
      <c r="E63" s="70">
        <f t="shared" si="25"/>
        <v>0</v>
      </c>
      <c r="F63" s="70">
        <f t="shared" si="25"/>
        <v>0</v>
      </c>
      <c r="G63" s="70">
        <f t="shared" si="25"/>
        <v>0</v>
      </c>
      <c r="H63" s="70">
        <f t="shared" si="25"/>
        <v>0</v>
      </c>
      <c r="I63" s="70">
        <f t="shared" si="25"/>
        <v>0</v>
      </c>
      <c r="J63" s="70">
        <f t="shared" si="25"/>
        <v>0</v>
      </c>
      <c r="K63" s="70">
        <f t="shared" si="25"/>
        <v>0</v>
      </c>
      <c r="L63" s="70">
        <f t="shared" si="25"/>
        <v>0</v>
      </c>
      <c r="M63" s="70">
        <f t="shared" si="25"/>
        <v>0</v>
      </c>
      <c r="N63" s="70">
        <f t="shared" si="25"/>
        <v>0</v>
      </c>
    </row>
    <row r="64" spans="1:18" x14ac:dyDescent="0.2">
      <c r="B64" s="60" t="s">
        <v>45</v>
      </c>
      <c r="C64" s="70">
        <f t="shared" ref="C64:N64" si="26">+C36*C50</f>
        <v>36.537335196057477</v>
      </c>
      <c r="D64" s="70">
        <f t="shared" si="26"/>
        <v>34.997768800493944</v>
      </c>
      <c r="E64" s="70">
        <f t="shared" si="26"/>
        <v>33.034620240802909</v>
      </c>
      <c r="F64" s="70">
        <f t="shared" si="26"/>
        <v>34.431295215691776</v>
      </c>
      <c r="G64" s="70">
        <f t="shared" si="26"/>
        <v>37.576381801476124</v>
      </c>
      <c r="H64" s="70">
        <f t="shared" si="26"/>
        <v>35.29497255204685</v>
      </c>
      <c r="I64" s="70">
        <f t="shared" si="26"/>
        <v>28.999469167209551</v>
      </c>
      <c r="J64" s="70">
        <f t="shared" si="26"/>
        <v>35.275825696228829</v>
      </c>
      <c r="K64" s="70">
        <f t="shared" si="26"/>
        <v>37.577610978602451</v>
      </c>
      <c r="L64" s="70">
        <f t="shared" si="26"/>
        <v>28.89704322067119</v>
      </c>
      <c r="M64" s="70">
        <f t="shared" si="26"/>
        <v>32.867676124000219</v>
      </c>
      <c r="N64" s="70">
        <f t="shared" si="26"/>
        <v>34.408826160518409</v>
      </c>
    </row>
    <row r="65" spans="1:21" x14ac:dyDescent="0.2">
      <c r="B65" s="60" t="s">
        <v>46</v>
      </c>
      <c r="C65" s="87">
        <f t="shared" ref="C65:N65" si="27">+C7-SUM(C55:C64)</f>
        <v>198.27511747202806</v>
      </c>
      <c r="D65" s="87">
        <f t="shared" si="27"/>
        <v>189.9204384485484</v>
      </c>
      <c r="E65" s="87">
        <f t="shared" si="27"/>
        <v>179.26712973845446</v>
      </c>
      <c r="F65" s="87">
        <f t="shared" si="27"/>
        <v>186.84638786525437</v>
      </c>
      <c r="G65" s="87">
        <f t="shared" si="27"/>
        <v>203.91365368827968</v>
      </c>
      <c r="H65" s="87">
        <f t="shared" si="27"/>
        <v>191.53325745781865</v>
      </c>
      <c r="I65" s="87">
        <f t="shared" si="27"/>
        <v>157.36980064094445</v>
      </c>
      <c r="J65" s="87">
        <f t="shared" si="27"/>
        <v>191.42935428408782</v>
      </c>
      <c r="K65" s="87">
        <f t="shared" si="27"/>
        <v>203.92032399518109</v>
      </c>
      <c r="L65" s="87">
        <f t="shared" si="27"/>
        <v>156.81397147406346</v>
      </c>
      <c r="M65" s="87">
        <f t="shared" si="27"/>
        <v>178.36118341826716</v>
      </c>
      <c r="N65" s="87">
        <f t="shared" si="27"/>
        <v>186.72445629771994</v>
      </c>
    </row>
    <row r="66" spans="1:21" ht="13.5" customHeight="1" x14ac:dyDescent="0.2">
      <c r="C66" s="70">
        <f t="shared" ref="C66:N66" si="28">SUM(C55:C65)</f>
        <v>616.14393247988869</v>
      </c>
      <c r="D66" s="70">
        <f t="shared" si="28"/>
        <v>590.18159865925577</v>
      </c>
      <c r="E66" s="70">
        <f t="shared" si="28"/>
        <v>557.07622665772067</v>
      </c>
      <c r="F66" s="70">
        <f t="shared" si="28"/>
        <v>580.62892437928667</v>
      </c>
      <c r="G66" s="70">
        <f t="shared" si="28"/>
        <v>633.66579766401424</v>
      </c>
      <c r="H66" s="70">
        <f t="shared" si="28"/>
        <v>595.19346630770269</v>
      </c>
      <c r="I66" s="70">
        <f t="shared" si="28"/>
        <v>489.02983418565748</v>
      </c>
      <c r="J66" s="70">
        <f t="shared" si="28"/>
        <v>594.87058509660631</v>
      </c>
      <c r="K66" s="70">
        <f t="shared" si="28"/>
        <v>633.68652577744297</v>
      </c>
      <c r="L66" s="70">
        <f t="shared" si="28"/>
        <v>487.30258382244733</v>
      </c>
      <c r="M66" s="70">
        <f t="shared" si="28"/>
        <v>554.26098016863659</v>
      </c>
      <c r="N66" s="70">
        <f t="shared" si="28"/>
        <v>580.25001957029224</v>
      </c>
    </row>
    <row r="67" spans="1:21" ht="9.75" customHeight="1" x14ac:dyDescent="0.2">
      <c r="P67" s="137" t="s">
        <v>80</v>
      </c>
      <c r="S67" s="63"/>
      <c r="T67" s="63" t="s">
        <v>69</v>
      </c>
    </row>
    <row r="68" spans="1:21" ht="12.75" x14ac:dyDescent="0.2">
      <c r="A68" s="96" t="s">
        <v>50</v>
      </c>
      <c r="P68" s="137" t="s">
        <v>75</v>
      </c>
      <c r="R68" s="60" t="s">
        <v>70</v>
      </c>
      <c r="S68" s="143" t="s">
        <v>71</v>
      </c>
      <c r="T68" s="131" t="str">
        <f>TEXT(C6,"mm/yy")&amp;" - "&amp;TEXT(N6,"mm/yy")</f>
        <v>05/14 - 04/15</v>
      </c>
    </row>
    <row r="69" spans="1:21" ht="12" x14ac:dyDescent="0.2">
      <c r="B69" s="60" t="s">
        <v>24</v>
      </c>
      <c r="C69" s="97">
        <v>75.099999999999994</v>
      </c>
      <c r="D69" s="97">
        <v>73.849999999999994</v>
      </c>
      <c r="E69" s="97">
        <v>74.45</v>
      </c>
      <c r="F69" s="97">
        <v>73.7</v>
      </c>
      <c r="G69" s="97">
        <v>67.003999999999991</v>
      </c>
      <c r="H69" s="97">
        <v>68.453000000000003</v>
      </c>
      <c r="I69" s="97">
        <v>63.755999999999993</v>
      </c>
      <c r="J69" s="97">
        <v>60.780999999999992</v>
      </c>
      <c r="K69" s="97">
        <v>59.100999999999999</v>
      </c>
      <c r="L69" s="97">
        <v>58.519999999999989</v>
      </c>
      <c r="M69" s="97">
        <v>59.919999999999995</v>
      </c>
      <c r="N69" s="97">
        <v>61.284999999999997</v>
      </c>
      <c r="P69" s="138">
        <f t="shared" ref="P69:P79" si="29">AVERAGE(C69:N69)</f>
        <v>66.32666666666664</v>
      </c>
      <c r="R69" s="60" t="str">
        <f>+B69</f>
        <v>ONP</v>
      </c>
      <c r="S69" s="132">
        <f>'[30]Single Family'!$N69*N13</f>
        <v>14.37345</v>
      </c>
      <c r="T69" s="133">
        <f>P69*N13</f>
        <v>12.933699999999995</v>
      </c>
      <c r="U69" s="102">
        <f>+T69-S69</f>
        <v>-1.4397500000000054</v>
      </c>
    </row>
    <row r="70" spans="1:21" ht="12" x14ac:dyDescent="0.2">
      <c r="B70" s="60" t="s">
        <v>28</v>
      </c>
      <c r="C70" s="97">
        <v>99.53</v>
      </c>
      <c r="D70" s="97">
        <v>95.65</v>
      </c>
      <c r="E70" s="97">
        <v>101.64</v>
      </c>
      <c r="F70" s="97">
        <v>98.99</v>
      </c>
      <c r="G70" s="97">
        <v>91.475999999999999</v>
      </c>
      <c r="H70" s="97">
        <v>95.332999999999998</v>
      </c>
      <c r="I70" s="97">
        <v>93.1</v>
      </c>
      <c r="J70" s="97">
        <v>88.647999999999996</v>
      </c>
      <c r="K70" s="97">
        <v>85.644999999999996</v>
      </c>
      <c r="L70" s="97">
        <v>73.444000000000003</v>
      </c>
      <c r="M70" s="97">
        <v>71.742999999999995</v>
      </c>
      <c r="N70" s="97">
        <v>80.044999999999987</v>
      </c>
      <c r="P70" s="138">
        <f t="shared" si="29"/>
        <v>89.603666666666683</v>
      </c>
      <c r="R70" s="60" t="str">
        <f t="shared" ref="R70:R79" si="30">+B70</f>
        <v>OCC</v>
      </c>
      <c r="S70" s="132">
        <f>'[30]Single Family'!$N70*N14</f>
        <v>17.579608199999999</v>
      </c>
      <c r="T70" s="133">
        <f>P70*N14</f>
        <v>15.967373400000003</v>
      </c>
      <c r="U70" s="102">
        <f t="shared" ref="U70:U80" si="31">+T70-S70</f>
        <v>-1.612234799999996</v>
      </c>
    </row>
    <row r="71" spans="1:21" ht="12" x14ac:dyDescent="0.2">
      <c r="B71" s="60" t="s">
        <v>39</v>
      </c>
      <c r="C71" s="141">
        <v>0</v>
      </c>
      <c r="D71" s="141">
        <v>0</v>
      </c>
      <c r="E71" s="141">
        <v>0</v>
      </c>
      <c r="F71" s="141">
        <v>0</v>
      </c>
      <c r="G71" s="97"/>
      <c r="H71" s="97"/>
      <c r="I71" s="97" t="s">
        <v>77</v>
      </c>
      <c r="J71" s="97">
        <v>0</v>
      </c>
      <c r="K71" s="97"/>
      <c r="L71" s="97"/>
      <c r="M71" s="97"/>
      <c r="N71" s="97"/>
      <c r="P71" s="138">
        <f t="shared" si="29"/>
        <v>0</v>
      </c>
      <c r="R71" s="60" t="str">
        <f t="shared" si="30"/>
        <v>Magazines</v>
      </c>
      <c r="S71" s="132">
        <f>'[30]Single Family'!$N71*N15</f>
        <v>0</v>
      </c>
      <c r="T71" s="133">
        <f t="shared" ref="T71:T79" si="32">P71*N15</f>
        <v>0</v>
      </c>
      <c r="U71" s="102">
        <f t="shared" si="31"/>
        <v>0</v>
      </c>
    </row>
    <row r="72" spans="1:21" ht="12" x14ac:dyDescent="0.2">
      <c r="B72" s="60" t="s">
        <v>40</v>
      </c>
      <c r="C72" s="97">
        <v>80.19</v>
      </c>
      <c r="D72" s="97">
        <v>74.19</v>
      </c>
      <c r="E72" s="97">
        <v>73.75</v>
      </c>
      <c r="F72" s="97">
        <v>73.260000000000005</v>
      </c>
      <c r="G72" s="97">
        <v>76.705999999999989</v>
      </c>
      <c r="H72" s="97">
        <v>61.949999999999996</v>
      </c>
      <c r="I72" s="97">
        <v>52.856999999999999</v>
      </c>
      <c r="J72" s="97">
        <v>53.297999999999995</v>
      </c>
      <c r="K72" s="97">
        <v>53.024999999999999</v>
      </c>
      <c r="L72" s="97">
        <v>39.094999999999999</v>
      </c>
      <c r="M72" s="97">
        <v>39.753</v>
      </c>
      <c r="N72" s="97">
        <v>39.269999999999996</v>
      </c>
      <c r="P72" s="138">
        <f t="shared" si="29"/>
        <v>59.778666666666673</v>
      </c>
      <c r="R72" s="60" t="str">
        <f t="shared" si="30"/>
        <v>Tin</v>
      </c>
      <c r="S72" s="132">
        <f>'[30]Single Family'!$N72*N16</f>
        <v>1.3476540000000001</v>
      </c>
      <c r="T72" s="133">
        <f t="shared" si="32"/>
        <v>0.98634800000000011</v>
      </c>
      <c r="U72" s="102">
        <f t="shared" si="31"/>
        <v>-0.36130600000000002</v>
      </c>
    </row>
    <row r="73" spans="1:21" ht="12" x14ac:dyDescent="0.2">
      <c r="B73" s="60" t="s">
        <v>41</v>
      </c>
      <c r="C73" s="97">
        <v>189.1</v>
      </c>
      <c r="D73" s="97">
        <v>190.61</v>
      </c>
      <c r="E73" s="97">
        <v>213.81</v>
      </c>
      <c r="F73" s="97">
        <v>216.37</v>
      </c>
      <c r="G73" s="97">
        <v>238.16799999999998</v>
      </c>
      <c r="H73" s="97">
        <v>230.12499999999997</v>
      </c>
      <c r="I73" s="97">
        <v>209.37700000000001</v>
      </c>
      <c r="J73" s="97">
        <v>171.57</v>
      </c>
      <c r="K73" s="97">
        <v>130.49399999999997</v>
      </c>
      <c r="L73" s="97">
        <v>104.23699999999999</v>
      </c>
      <c r="M73" s="97">
        <v>119.26599999999999</v>
      </c>
      <c r="N73" s="97">
        <v>143.15699999999998</v>
      </c>
      <c r="P73" s="138">
        <f t="shared" si="29"/>
        <v>179.69033333333334</v>
      </c>
      <c r="R73" s="60" t="str">
        <f t="shared" si="30"/>
        <v>Plastic</v>
      </c>
      <c r="S73" s="132">
        <f>'[30]Single Family'!$N73*N17</f>
        <v>7.9599617999999994</v>
      </c>
      <c r="T73" s="133">
        <f t="shared" si="32"/>
        <v>8.0680959666666681</v>
      </c>
      <c r="U73" s="102">
        <f t="shared" si="31"/>
        <v>0.10813416666666864</v>
      </c>
    </row>
    <row r="74" spans="1:21" ht="12" x14ac:dyDescent="0.2">
      <c r="B74" s="60" t="s">
        <v>42</v>
      </c>
      <c r="C74" s="97">
        <v>1078.01</v>
      </c>
      <c r="D74" s="97">
        <v>1048.72</v>
      </c>
      <c r="E74" s="97">
        <v>1082.54</v>
      </c>
      <c r="F74" s="97">
        <v>1138.19</v>
      </c>
      <c r="G74" s="97">
        <v>1150.8559999999998</v>
      </c>
      <c r="H74" s="97">
        <v>1124.4870000000001</v>
      </c>
      <c r="I74" s="97">
        <v>1232</v>
      </c>
      <c r="J74" s="97">
        <v>1190</v>
      </c>
      <c r="K74" s="97">
        <v>1106</v>
      </c>
      <c r="L74" s="97">
        <v>1095.4089999999999</v>
      </c>
      <c r="M74" s="97">
        <v>1041.194</v>
      </c>
      <c r="N74" s="97">
        <v>970.33299999999997</v>
      </c>
      <c r="P74" s="138">
        <f t="shared" si="29"/>
        <v>1104.8115833333334</v>
      </c>
      <c r="R74" s="60" t="str">
        <f t="shared" si="30"/>
        <v>Aluminum</v>
      </c>
      <c r="S74" s="132">
        <f>'[30]Single Family'!$N74*N18</f>
        <v>8.19</v>
      </c>
      <c r="T74" s="133">
        <f t="shared" si="32"/>
        <v>8.2860868750000005</v>
      </c>
      <c r="U74" s="102">
        <f t="shared" si="31"/>
        <v>9.6086875000001015E-2</v>
      </c>
    </row>
    <row r="75" spans="1:21" ht="12" x14ac:dyDescent="0.2">
      <c r="B75" s="60" t="s">
        <v>43</v>
      </c>
      <c r="C75" s="141">
        <v>0</v>
      </c>
      <c r="D75" s="141">
        <v>0</v>
      </c>
      <c r="E75" s="141">
        <v>0</v>
      </c>
      <c r="F75" s="141">
        <v>0</v>
      </c>
      <c r="G75" s="97"/>
      <c r="H75" s="97"/>
      <c r="I75" s="97" t="s">
        <v>77</v>
      </c>
      <c r="J75" s="97">
        <v>0</v>
      </c>
      <c r="K75" s="97"/>
      <c r="L75" s="97"/>
      <c r="M75" s="97"/>
      <c r="N75" s="97"/>
      <c r="P75" s="138">
        <f t="shared" si="29"/>
        <v>0</v>
      </c>
      <c r="R75" s="60" t="str">
        <f t="shared" si="30"/>
        <v>Ferris Metal</v>
      </c>
      <c r="S75" s="132">
        <f>'[30]Single Family'!$N75*N19</f>
        <v>0</v>
      </c>
      <c r="T75" s="133">
        <f t="shared" si="32"/>
        <v>0</v>
      </c>
      <c r="U75" s="102">
        <f t="shared" si="31"/>
        <v>0</v>
      </c>
    </row>
    <row r="76" spans="1:21" ht="12" x14ac:dyDescent="0.2">
      <c r="B76" s="60" t="s">
        <v>36</v>
      </c>
      <c r="C76" s="97">
        <v>-15.18</v>
      </c>
      <c r="D76" s="97">
        <v>-6.98</v>
      </c>
      <c r="E76" s="97">
        <v>-7.6</v>
      </c>
      <c r="F76" s="97">
        <v>-8.7100000000000009</v>
      </c>
      <c r="G76" s="97">
        <v>2.6</v>
      </c>
      <c r="H76" s="97">
        <v>0.99399999999999988</v>
      </c>
      <c r="I76" s="97">
        <v>-2.9539999999999997</v>
      </c>
      <c r="J76" s="97">
        <v>-4.7669999999999995</v>
      </c>
      <c r="K76" s="97">
        <v>-3.9339999999999997</v>
      </c>
      <c r="L76" s="97">
        <v>-9.113999999999999</v>
      </c>
      <c r="M76" s="97">
        <v>-5.194</v>
      </c>
      <c r="N76" s="97">
        <v>-13.93</v>
      </c>
      <c r="P76" s="138">
        <f t="shared" si="29"/>
        <v>-6.2307499999999996</v>
      </c>
      <c r="R76" s="60" t="str">
        <f t="shared" si="30"/>
        <v>Sorted Glass</v>
      </c>
      <c r="S76" s="132">
        <f>'[30]Single Family'!$N76*N20</f>
        <v>-3.1382000000000003</v>
      </c>
      <c r="T76" s="133">
        <f t="shared" si="32"/>
        <v>-1.1015965999999999</v>
      </c>
      <c r="U76" s="102">
        <f t="shared" si="31"/>
        <v>2.0366034000000006</v>
      </c>
    </row>
    <row r="77" spans="1:21" ht="12" x14ac:dyDescent="0.2">
      <c r="B77" s="60" t="s">
        <v>44</v>
      </c>
      <c r="C77" s="97">
        <v>-120.17</v>
      </c>
      <c r="D77" s="97">
        <v>-120.17</v>
      </c>
      <c r="E77" s="97">
        <v>-120.71</v>
      </c>
      <c r="F77" s="97">
        <v>-120.17</v>
      </c>
      <c r="G77" s="97">
        <v>-120.17</v>
      </c>
      <c r="H77" s="97">
        <v>-120.17</v>
      </c>
      <c r="I77" s="97">
        <v>-120.17</v>
      </c>
      <c r="J77" s="97">
        <v>-120.17</v>
      </c>
      <c r="K77" s="97">
        <v>-120.17</v>
      </c>
      <c r="L77" s="97">
        <v>-120.17</v>
      </c>
      <c r="M77" s="97">
        <v>-120.17</v>
      </c>
      <c r="N77" s="97">
        <v>-120.17</v>
      </c>
      <c r="P77" s="138">
        <f t="shared" si="29"/>
        <v>-120.21500000000002</v>
      </c>
      <c r="R77" s="60" t="str">
        <f t="shared" si="30"/>
        <v>Glass Contamination</v>
      </c>
      <c r="S77" s="132">
        <f>'[30]Single Family'!$N77*N21</f>
        <v>0</v>
      </c>
      <c r="T77" s="133">
        <f t="shared" si="32"/>
        <v>0</v>
      </c>
      <c r="U77" s="102">
        <f t="shared" si="31"/>
        <v>0</v>
      </c>
    </row>
    <row r="78" spans="1:21" ht="12" x14ac:dyDescent="0.2">
      <c r="B78" s="60" t="s">
        <v>45</v>
      </c>
      <c r="C78" s="97">
        <v>-120.17</v>
      </c>
      <c r="D78" s="97">
        <v>-120.17</v>
      </c>
      <c r="E78" s="97">
        <v>-120.17</v>
      </c>
      <c r="F78" s="97">
        <v>-120.17</v>
      </c>
      <c r="G78" s="97">
        <v>-120.17</v>
      </c>
      <c r="H78" s="97">
        <v>-120.17</v>
      </c>
      <c r="I78" s="97">
        <v>-120.17</v>
      </c>
      <c r="J78" s="97">
        <v>-120.17</v>
      </c>
      <c r="K78" s="97">
        <v>-120.17</v>
      </c>
      <c r="L78" s="97">
        <v>-120.17</v>
      </c>
      <c r="M78" s="97">
        <v>-120.17</v>
      </c>
      <c r="N78" s="97">
        <v>-120.17</v>
      </c>
      <c r="P78" s="138">
        <f t="shared" si="29"/>
        <v>-120.17000000000002</v>
      </c>
      <c r="R78" s="60" t="str">
        <f t="shared" si="30"/>
        <v>Trash</v>
      </c>
      <c r="S78" s="132">
        <f>'[30]Single Family'!$N78*N22</f>
        <v>-7.1260810000000161</v>
      </c>
      <c r="T78" s="133">
        <f t="shared" si="32"/>
        <v>-7.126081000000017</v>
      </c>
      <c r="U78" s="102">
        <f t="shared" si="31"/>
        <v>0</v>
      </c>
    </row>
    <row r="79" spans="1:21" ht="12.75" thickBot="1" x14ac:dyDescent="0.25">
      <c r="B79" s="60" t="s">
        <v>46</v>
      </c>
      <c r="C79" s="97">
        <v>70.069999999999993</v>
      </c>
      <c r="D79" s="97">
        <v>68.36</v>
      </c>
      <c r="E79" s="97">
        <v>68.42</v>
      </c>
      <c r="F79" s="97">
        <v>68.02</v>
      </c>
      <c r="G79" s="97">
        <v>62.811</v>
      </c>
      <c r="H79" s="97">
        <v>60.717999999999989</v>
      </c>
      <c r="I79" s="97">
        <v>56.370999999999995</v>
      </c>
      <c r="J79" s="97">
        <v>53.717999999999996</v>
      </c>
      <c r="K79" s="97">
        <v>53.255999999999993</v>
      </c>
      <c r="L79" s="97">
        <v>51.967999999999996</v>
      </c>
      <c r="M79" s="97">
        <v>56.069999999999993</v>
      </c>
      <c r="N79" s="97">
        <v>56.069999999999993</v>
      </c>
      <c r="O79" s="102">
        <f>SUM(C69:N79)</f>
        <v>15768.994000000015</v>
      </c>
      <c r="P79" s="138">
        <f t="shared" si="29"/>
        <v>60.487666666666655</v>
      </c>
      <c r="R79" s="60" t="str">
        <f t="shared" si="30"/>
        <v>Mixed Paper</v>
      </c>
      <c r="S79" s="132">
        <f>'[30]Single Family'!$N79*N23</f>
        <v>22.278213999999998</v>
      </c>
      <c r="T79" s="133">
        <f t="shared" si="32"/>
        <v>19.464931133333327</v>
      </c>
      <c r="U79" s="102">
        <f t="shared" si="31"/>
        <v>-2.8132828666666718</v>
      </c>
    </row>
    <row r="80" spans="1:21" ht="11.25" customHeight="1" thickBot="1" x14ac:dyDescent="0.25">
      <c r="R80" s="134" t="s">
        <v>72</v>
      </c>
      <c r="S80" s="135">
        <v>60.539289591666645</v>
      </c>
      <c r="T80" s="136">
        <f>SUMPRODUCT(P69:P79,N13:N23)</f>
        <v>57.47885777499998</v>
      </c>
      <c r="U80" s="102">
        <f t="shared" si="31"/>
        <v>-3.0604318166666644</v>
      </c>
    </row>
    <row r="81" spans="1:20" x14ac:dyDescent="0.2">
      <c r="A81" s="78" t="s">
        <v>51</v>
      </c>
      <c r="Q81" s="89"/>
      <c r="R81" s="89"/>
      <c r="S81" s="89"/>
      <c r="T81" s="89"/>
    </row>
    <row r="82" spans="1:20" x14ac:dyDescent="0.2">
      <c r="B82" s="60" t="s">
        <v>24</v>
      </c>
      <c r="C82" s="73">
        <f t="shared" ref="C82:N82" si="33">+C69*C55</f>
        <v>9023.1198192017291</v>
      </c>
      <c r="D82" s="70">
        <f t="shared" si="33"/>
        <v>8499.057656892277</v>
      </c>
      <c r="E82" s="70">
        <f t="shared" si="33"/>
        <v>8087.4933895601243</v>
      </c>
      <c r="F82" s="70">
        <f t="shared" si="33"/>
        <v>8344.5085867169182</v>
      </c>
      <c r="G82" s="70">
        <f t="shared" si="33"/>
        <v>8279.3379058025221</v>
      </c>
      <c r="H82" s="70">
        <f t="shared" si="33"/>
        <v>7944.8417780864293</v>
      </c>
      <c r="I82" s="70">
        <f t="shared" si="33"/>
        <v>6079.8242911264515</v>
      </c>
      <c r="J82" s="70">
        <f t="shared" si="33"/>
        <v>7050.5816613875813</v>
      </c>
      <c r="K82" s="70">
        <f t="shared" si="33"/>
        <v>7303.0439351946679</v>
      </c>
      <c r="L82" s="70">
        <f t="shared" si="33"/>
        <v>5560.8047050314744</v>
      </c>
      <c r="M82" s="70">
        <f t="shared" si="33"/>
        <v>6476.2069966824165</v>
      </c>
      <c r="N82" s="70">
        <f t="shared" si="33"/>
        <v>6934.3213776262446</v>
      </c>
      <c r="Q82" s="89" t="s">
        <v>73</v>
      </c>
      <c r="R82" s="89"/>
      <c r="S82" s="89"/>
      <c r="T82" s="144">
        <f>+T80-S80</f>
        <v>-3.0604318166666644</v>
      </c>
    </row>
    <row r="83" spans="1:20" x14ac:dyDescent="0.2">
      <c r="B83" s="60" t="s">
        <v>28</v>
      </c>
      <c r="C83" s="73">
        <f t="shared" ref="C83:N83" si="34">+C70*C56</f>
        <v>10928.080357870696</v>
      </c>
      <c r="D83" s="70">
        <f t="shared" si="34"/>
        <v>10059.545018275243</v>
      </c>
      <c r="E83" s="70">
        <f t="shared" si="34"/>
        <v>10089.902772128848</v>
      </c>
      <c r="F83" s="70">
        <f t="shared" si="34"/>
        <v>10242.304677371254</v>
      </c>
      <c r="G83" s="70">
        <f t="shared" si="34"/>
        <v>10329.400868767601</v>
      </c>
      <c r="H83" s="70">
        <f t="shared" si="34"/>
        <v>10111.349328529877</v>
      </c>
      <c r="I83" s="70">
        <f t="shared" si="34"/>
        <v>8113.2103416704149</v>
      </c>
      <c r="J83" s="70">
        <f>+J70*J56</f>
        <v>9397.2144152461533</v>
      </c>
      <c r="K83" s="70">
        <f t="shared" si="34"/>
        <v>9671.2851015372617</v>
      </c>
      <c r="L83" s="70">
        <f t="shared" si="34"/>
        <v>6377.680162186788</v>
      </c>
      <c r="M83" s="70">
        <f t="shared" si="34"/>
        <v>7086.006368142499</v>
      </c>
      <c r="N83" s="70">
        <f t="shared" si="34"/>
        <v>8276.697303901019</v>
      </c>
      <c r="Q83" s="89" t="s">
        <v>78</v>
      </c>
      <c r="R83" s="89"/>
      <c r="S83" s="89"/>
      <c r="T83" s="145">
        <f>SUM(C7:N7,[31]Multi_Family!$C$7:$N$7,'[32]Single Family'!$C$7:$N$7,[33]Multi_Family!$C$7:$N$7,[34]Multi_Family!$C$7:$N$7,'[35]Single Family'!$C$7:$N$7)</f>
        <v>13239.663104642757</v>
      </c>
    </row>
    <row r="84" spans="1:20" x14ac:dyDescent="0.2">
      <c r="B84" s="60" t="s">
        <v>39</v>
      </c>
      <c r="C84" s="70">
        <f>+C71*C57</f>
        <v>0</v>
      </c>
      <c r="D84" s="70">
        <f>+D71*D57</f>
        <v>0</v>
      </c>
      <c r="E84" s="70" t="s">
        <v>77</v>
      </c>
      <c r="F84" s="70" t="s">
        <v>77</v>
      </c>
      <c r="G84" s="70" t="s">
        <v>77</v>
      </c>
      <c r="H84" s="70" t="s">
        <v>77</v>
      </c>
      <c r="I84" s="70" t="s">
        <v>77</v>
      </c>
      <c r="J84" s="70" t="s">
        <v>77</v>
      </c>
      <c r="K84" s="70" t="s">
        <v>77</v>
      </c>
      <c r="L84" s="70" t="s">
        <v>77</v>
      </c>
      <c r="M84" s="70" t="s">
        <v>77</v>
      </c>
      <c r="N84" s="70" t="s">
        <v>77</v>
      </c>
      <c r="Q84" s="146" t="s">
        <v>79</v>
      </c>
      <c r="R84" s="146"/>
      <c r="S84" s="89"/>
      <c r="T84" s="148">
        <f>T83/12</f>
        <v>1103.3052587202299</v>
      </c>
    </row>
    <row r="85" spans="1:20" x14ac:dyDescent="0.2">
      <c r="B85" s="60" t="s">
        <v>40</v>
      </c>
      <c r="C85" s="73">
        <f t="shared" ref="C85:N85" si="35">+C72*C58</f>
        <v>815.24160210177752</v>
      </c>
      <c r="D85" s="70">
        <f t="shared" si="35"/>
        <v>722.46195127474812</v>
      </c>
      <c r="E85" s="70">
        <f t="shared" si="35"/>
        <v>677.89213331411383</v>
      </c>
      <c r="F85" s="70">
        <f t="shared" si="35"/>
        <v>701.85843750043807</v>
      </c>
      <c r="G85" s="70">
        <f t="shared" si="35"/>
        <v>801.99848314766189</v>
      </c>
      <c r="H85" s="70">
        <f t="shared" si="35"/>
        <v>608.39188142307603</v>
      </c>
      <c r="I85" s="70">
        <f t="shared" si="35"/>
        <v>426.50272410159641</v>
      </c>
      <c r="J85" s="70">
        <f>+J72*J58</f>
        <v>523.13930533390214</v>
      </c>
      <c r="K85" s="70">
        <f t="shared" si="35"/>
        <v>554.42026248425702</v>
      </c>
      <c r="L85" s="70">
        <f t="shared" si="35"/>
        <v>314.34305948988651</v>
      </c>
      <c r="M85" s="70">
        <f t="shared" si="35"/>
        <v>363.55335628662289</v>
      </c>
      <c r="N85" s="70">
        <f t="shared" si="35"/>
        <v>375.97590143066867</v>
      </c>
      <c r="Q85" s="89" t="s">
        <v>74</v>
      </c>
      <c r="R85" s="89"/>
      <c r="S85" s="89"/>
      <c r="T85" s="147">
        <f>+T82*T83</f>
        <v>-40519.086207396445</v>
      </c>
    </row>
    <row r="86" spans="1:20" x14ac:dyDescent="0.2">
      <c r="B86" s="60" t="s">
        <v>41</v>
      </c>
      <c r="C86" s="73">
        <f t="shared" ref="C86:N86" si="36">+C73*C59</f>
        <v>5231.425511674418</v>
      </c>
      <c r="D86" s="70">
        <f t="shared" si="36"/>
        <v>5051.0037019677902</v>
      </c>
      <c r="E86" s="70">
        <f t="shared" si="36"/>
        <v>5347.970214173758</v>
      </c>
      <c r="F86" s="70">
        <f t="shared" si="36"/>
        <v>5640.8175485207876</v>
      </c>
      <c r="G86" s="70">
        <f t="shared" si="36"/>
        <v>6776.2593148421283</v>
      </c>
      <c r="H86" s="70">
        <f t="shared" si="36"/>
        <v>6149.903449889297</v>
      </c>
      <c r="I86" s="70">
        <f t="shared" si="36"/>
        <v>4597.38282169384</v>
      </c>
      <c r="J86" s="70">
        <f>+J73*J59</f>
        <v>4582.581388197611</v>
      </c>
      <c r="K86" s="70">
        <f t="shared" si="36"/>
        <v>3712.8837983165931</v>
      </c>
      <c r="L86" s="70">
        <f t="shared" si="36"/>
        <v>2280.6936784025297</v>
      </c>
      <c r="M86" s="70">
        <f t="shared" si="36"/>
        <v>2968.0916037295883</v>
      </c>
      <c r="N86" s="70">
        <f t="shared" si="36"/>
        <v>3729.701657117932</v>
      </c>
      <c r="Q86" s="89"/>
      <c r="R86" s="89"/>
      <c r="S86" s="89"/>
      <c r="T86" s="89"/>
    </row>
    <row r="87" spans="1:20" x14ac:dyDescent="0.2">
      <c r="B87" s="60" t="s">
        <v>42</v>
      </c>
      <c r="C87" s="73">
        <f t="shared" ref="C87:N87" si="37">+C74*C60</f>
        <v>4981.5699048948354</v>
      </c>
      <c r="D87" s="70">
        <f t="shared" si="37"/>
        <v>4642.0143460945101</v>
      </c>
      <c r="E87" s="70">
        <f t="shared" si="37"/>
        <v>4522.9297380453663</v>
      </c>
      <c r="F87" s="70">
        <f t="shared" si="37"/>
        <v>4956.4952657944523</v>
      </c>
      <c r="G87" s="70">
        <f t="shared" si="37"/>
        <v>5469.4356392731252</v>
      </c>
      <c r="H87" s="70">
        <f t="shared" si="37"/>
        <v>5019.6548651096227</v>
      </c>
      <c r="I87" s="70">
        <f t="shared" si="37"/>
        <v>4518.6356678754746</v>
      </c>
      <c r="J87" s="70">
        <f>+J74*J60</f>
        <v>5309.2199719872115</v>
      </c>
      <c r="K87" s="70">
        <f t="shared" si="37"/>
        <v>5256.4297313238894</v>
      </c>
      <c r="L87" s="70">
        <f t="shared" si="37"/>
        <v>4003.4672703177234</v>
      </c>
      <c r="M87" s="70">
        <f t="shared" si="37"/>
        <v>4328.1990523927752</v>
      </c>
      <c r="N87" s="70">
        <f t="shared" si="37"/>
        <v>4222.7680667977529</v>
      </c>
    </row>
    <row r="88" spans="1:20" x14ac:dyDescent="0.2">
      <c r="B88" s="60" t="s">
        <v>43</v>
      </c>
      <c r="C88" s="73">
        <f>+C75*C61</f>
        <v>0</v>
      </c>
      <c r="D88" s="70">
        <f>+D75*D61</f>
        <v>0</v>
      </c>
      <c r="E88" s="70" t="s">
        <v>77</v>
      </c>
      <c r="F88" s="70" t="s">
        <v>77</v>
      </c>
      <c r="G88" s="70" t="s">
        <v>77</v>
      </c>
      <c r="H88" s="70" t="s">
        <v>77</v>
      </c>
      <c r="I88" s="70" t="s">
        <v>77</v>
      </c>
      <c r="J88" s="70" t="s">
        <v>77</v>
      </c>
      <c r="K88" s="70" t="s">
        <v>77</v>
      </c>
      <c r="L88" s="70" t="s">
        <v>77</v>
      </c>
      <c r="M88" s="70" t="s">
        <v>77</v>
      </c>
      <c r="N88" s="70" t="s">
        <v>77</v>
      </c>
    </row>
    <row r="89" spans="1:20" x14ac:dyDescent="0.2">
      <c r="B89" s="60" t="s">
        <v>36</v>
      </c>
      <c r="C89" s="73">
        <f t="shared" ref="C89:N89" si="38">+C76*C62</f>
        <v>-1653.6218734439049</v>
      </c>
      <c r="D89" s="70">
        <f t="shared" si="38"/>
        <v>-728.32186436783593</v>
      </c>
      <c r="E89" s="70">
        <f t="shared" si="38"/>
        <v>-748.53218423544615</v>
      </c>
      <c r="F89" s="70">
        <f t="shared" si="38"/>
        <v>-894.12673826154628</v>
      </c>
      <c r="G89" s="70">
        <f t="shared" si="38"/>
        <v>291.28349387019409</v>
      </c>
      <c r="H89" s="70">
        <f t="shared" si="38"/>
        <v>104.59882361414262</v>
      </c>
      <c r="I89" s="70">
        <f t="shared" si="38"/>
        <v>-255.4042422166076</v>
      </c>
      <c r="J89" s="70">
        <f>+J76*J62</f>
        <v>-501.3602603946963</v>
      </c>
      <c r="K89" s="70">
        <f t="shared" si="38"/>
        <v>-440.74874969781587</v>
      </c>
      <c r="L89" s="70">
        <f t="shared" si="38"/>
        <v>-785.21755241573635</v>
      </c>
      <c r="M89" s="70">
        <f t="shared" si="38"/>
        <v>-508.97741468007484</v>
      </c>
      <c r="N89" s="70">
        <f t="shared" si="38"/>
        <v>-1429.0536741981855</v>
      </c>
    </row>
    <row r="90" spans="1:20" x14ac:dyDescent="0.2">
      <c r="B90" s="60" t="s">
        <v>44</v>
      </c>
      <c r="C90" s="73">
        <f t="shared" ref="C90:N90" si="39">+C77*C63</f>
        <v>0</v>
      </c>
      <c r="D90" s="70">
        <f t="shared" si="39"/>
        <v>0</v>
      </c>
      <c r="E90" s="70">
        <f t="shared" si="39"/>
        <v>0</v>
      </c>
      <c r="F90" s="70">
        <f t="shared" si="39"/>
        <v>0</v>
      </c>
      <c r="G90" s="70">
        <f t="shared" si="39"/>
        <v>0</v>
      </c>
      <c r="H90" s="70">
        <f t="shared" si="39"/>
        <v>0</v>
      </c>
      <c r="I90" s="70">
        <f t="shared" si="39"/>
        <v>0</v>
      </c>
      <c r="J90" s="70">
        <f>+J77*J63</f>
        <v>0</v>
      </c>
      <c r="K90" s="70">
        <f t="shared" si="39"/>
        <v>0</v>
      </c>
      <c r="L90" s="70">
        <f t="shared" si="39"/>
        <v>0</v>
      </c>
      <c r="M90" s="70">
        <f t="shared" si="39"/>
        <v>0</v>
      </c>
      <c r="N90" s="70">
        <f t="shared" si="39"/>
        <v>0</v>
      </c>
    </row>
    <row r="91" spans="1:20" x14ac:dyDescent="0.2">
      <c r="B91" s="60" t="s">
        <v>45</v>
      </c>
      <c r="C91" s="73">
        <f t="shared" ref="C91:N91" si="40">+C78*C64</f>
        <v>-4390.6915705102274</v>
      </c>
      <c r="D91" s="70">
        <f t="shared" si="40"/>
        <v>-4205.6818767553577</v>
      </c>
      <c r="E91" s="70">
        <f t="shared" si="40"/>
        <v>-3969.7703143372855</v>
      </c>
      <c r="F91" s="70">
        <f t="shared" si="40"/>
        <v>-4137.6087460696808</v>
      </c>
      <c r="G91" s="70">
        <f t="shared" si="40"/>
        <v>-4515.5538010833861</v>
      </c>
      <c r="H91" s="70">
        <f t="shared" si="40"/>
        <v>-4241.3968515794704</v>
      </c>
      <c r="I91" s="70">
        <f t="shared" si="40"/>
        <v>-3484.8662098235718</v>
      </c>
      <c r="J91" s="70">
        <f>+J78*J64</f>
        <v>-4239.0959739158188</v>
      </c>
      <c r="K91" s="70">
        <f t="shared" si="40"/>
        <v>-4515.7015112986564</v>
      </c>
      <c r="L91" s="70">
        <f t="shared" si="40"/>
        <v>-3472.5576838280567</v>
      </c>
      <c r="M91" s="70">
        <f t="shared" si="40"/>
        <v>-3949.7086398211063</v>
      </c>
      <c r="N91" s="70">
        <f t="shared" si="40"/>
        <v>-4134.908639709497</v>
      </c>
    </row>
    <row r="92" spans="1:20" x14ac:dyDescent="0.2">
      <c r="B92" s="60" t="s">
        <v>46</v>
      </c>
      <c r="C92" s="98">
        <f t="shared" ref="C92:N92" si="41">+C79*C65</f>
        <v>13893.137481265005</v>
      </c>
      <c r="D92" s="87">
        <f t="shared" si="41"/>
        <v>12982.961172342768</v>
      </c>
      <c r="E92" s="87">
        <f t="shared" si="41"/>
        <v>12265.457016705055</v>
      </c>
      <c r="F92" s="87">
        <f t="shared" si="41"/>
        <v>12709.291302594602</v>
      </c>
      <c r="G92" s="87">
        <f t="shared" si="41"/>
        <v>12808.020501814535</v>
      </c>
      <c r="H92" s="87">
        <f t="shared" si="41"/>
        <v>11629.51632632383</v>
      </c>
      <c r="I92" s="87">
        <f t="shared" si="41"/>
        <v>8871.093031930679</v>
      </c>
      <c r="J92" s="87">
        <f>+J79*J65</f>
        <v>10283.202053432629</v>
      </c>
      <c r="K92" s="70">
        <f t="shared" si="41"/>
        <v>10859.980774687363</v>
      </c>
      <c r="L92" s="70">
        <f t="shared" si="41"/>
        <v>8149.3084695641292</v>
      </c>
      <c r="M92" s="70">
        <f t="shared" si="41"/>
        <v>10000.711554262238</v>
      </c>
      <c r="N92" s="70">
        <f t="shared" si="41"/>
        <v>10469.640264613156</v>
      </c>
    </row>
    <row r="93" spans="1:20" x14ac:dyDescent="0.2">
      <c r="A93" s="78" t="s">
        <v>52</v>
      </c>
      <c r="B93" s="78"/>
      <c r="C93" s="99">
        <f t="shared" ref="C93:N93" si="42">SUM(C82:C92)</f>
        <v>38828.261233054327</v>
      </c>
      <c r="D93" s="100">
        <f t="shared" si="42"/>
        <v>37023.04010572414</v>
      </c>
      <c r="E93" s="100">
        <f t="shared" si="42"/>
        <v>36273.342765354537</v>
      </c>
      <c r="F93" s="100">
        <f t="shared" si="42"/>
        <v>37563.540334167228</v>
      </c>
      <c r="G93" s="100">
        <f t="shared" si="42"/>
        <v>40240.182406434382</v>
      </c>
      <c r="H93" s="100">
        <f t="shared" si="42"/>
        <v>37326.859601396805</v>
      </c>
      <c r="I93" s="100">
        <f t="shared" si="42"/>
        <v>28866.378426358271</v>
      </c>
      <c r="J93" s="100">
        <f t="shared" si="42"/>
        <v>32405.48256127457</v>
      </c>
      <c r="K93" s="101">
        <f t="shared" si="42"/>
        <v>32401.59334254756</v>
      </c>
      <c r="L93" s="101">
        <f t="shared" si="42"/>
        <v>22428.522108748741</v>
      </c>
      <c r="M93" s="101">
        <f t="shared" si="42"/>
        <v>26764.082876994955</v>
      </c>
      <c r="N93" s="101">
        <f t="shared" si="42"/>
        <v>28445.142257579093</v>
      </c>
      <c r="O93" s="237">
        <f>SUM(C93:N93)</f>
        <v>398566.42801963456</v>
      </c>
      <c r="P93" s="237">
        <f>O93*50%</f>
        <v>199283.21400981728</v>
      </c>
    </row>
    <row r="94" spans="1:20" x14ac:dyDescent="0.2">
      <c r="A94" s="78" t="s">
        <v>53</v>
      </c>
      <c r="B94" s="78"/>
      <c r="C94" s="99">
        <f t="shared" ref="C94:N94" si="43">+C93/C66</f>
        <v>63.018166999999963</v>
      </c>
      <c r="D94" s="100">
        <f t="shared" si="43"/>
        <v>62.731606999999968</v>
      </c>
      <c r="E94" s="100">
        <f t="shared" si="43"/>
        <v>65.113786999999988</v>
      </c>
      <c r="F94" s="100">
        <f t="shared" si="43"/>
        <v>64.694572999999977</v>
      </c>
      <c r="G94" s="100">
        <f t="shared" si="43"/>
        <v>63.503794199999973</v>
      </c>
      <c r="H94" s="100">
        <f t="shared" si="43"/>
        <v>62.713826199999971</v>
      </c>
      <c r="I94" s="100">
        <f t="shared" si="43"/>
        <v>59.027847399999956</v>
      </c>
      <c r="J94" s="100">
        <f t="shared" si="43"/>
        <v>54.474844399999974</v>
      </c>
      <c r="K94" s="70">
        <f t="shared" si="43"/>
        <v>51.131895699999973</v>
      </c>
      <c r="L94" s="70">
        <f t="shared" si="43"/>
        <v>46.025863299999976</v>
      </c>
      <c r="M94" s="70">
        <f t="shared" si="43"/>
        <v>48.287871299999964</v>
      </c>
      <c r="N94" s="70">
        <f t="shared" si="43"/>
        <v>49.022216799999974</v>
      </c>
    </row>
    <row r="95" spans="1:20" ht="8.1" customHeight="1" x14ac:dyDescent="0.2"/>
    <row r="96" spans="1:20" x14ac:dyDescent="0.2">
      <c r="A96" s="78"/>
      <c r="C96" s="102">
        <f t="shared" ref="C96:N96" si="44">C94</f>
        <v>63.018166999999963</v>
      </c>
      <c r="D96" s="102">
        <f t="shared" si="44"/>
        <v>62.731606999999968</v>
      </c>
      <c r="E96" s="102">
        <f t="shared" si="44"/>
        <v>65.113786999999988</v>
      </c>
      <c r="F96" s="102">
        <f t="shared" si="44"/>
        <v>64.694572999999977</v>
      </c>
      <c r="G96" s="102">
        <f t="shared" si="44"/>
        <v>63.503794199999973</v>
      </c>
      <c r="H96" s="102">
        <f t="shared" si="44"/>
        <v>62.713826199999971</v>
      </c>
      <c r="I96" s="102">
        <f t="shared" si="44"/>
        <v>59.027847399999956</v>
      </c>
      <c r="J96" s="102">
        <f t="shared" si="44"/>
        <v>54.474844399999974</v>
      </c>
      <c r="K96" s="102">
        <f t="shared" si="44"/>
        <v>51.131895699999973</v>
      </c>
      <c r="L96" s="102">
        <f t="shared" si="44"/>
        <v>46.025863299999976</v>
      </c>
      <c r="M96" s="102">
        <f t="shared" si="44"/>
        <v>48.287871299999964</v>
      </c>
      <c r="N96" s="102">
        <f t="shared" si="44"/>
        <v>49.022216799999974</v>
      </c>
    </row>
    <row r="97" spans="1:14" x14ac:dyDescent="0.2">
      <c r="C97" s="103">
        <f t="shared" ref="C97:N97" si="45">C96*0.7</f>
        <v>44.112716899999974</v>
      </c>
      <c r="D97" s="103">
        <f t="shared" si="45"/>
        <v>43.912124899999974</v>
      </c>
      <c r="E97" s="103">
        <f t="shared" si="45"/>
        <v>45.57965089999999</v>
      </c>
      <c r="F97" s="103">
        <f t="shared" si="45"/>
        <v>45.286201099999978</v>
      </c>
      <c r="G97" s="103">
        <f t="shared" si="45"/>
        <v>44.452655939999978</v>
      </c>
      <c r="H97" s="103">
        <f t="shared" si="45"/>
        <v>43.89967833999998</v>
      </c>
      <c r="I97" s="103">
        <f t="shared" si="45"/>
        <v>41.319493179999967</v>
      </c>
      <c r="J97" s="103">
        <f t="shared" si="45"/>
        <v>38.132391079999977</v>
      </c>
      <c r="K97" s="103">
        <f t="shared" si="45"/>
        <v>35.792326989999978</v>
      </c>
      <c r="L97" s="103">
        <f t="shared" si="45"/>
        <v>32.21810430999998</v>
      </c>
      <c r="M97" s="103">
        <f t="shared" si="45"/>
        <v>33.801509909999972</v>
      </c>
      <c r="N97" s="103">
        <f t="shared" si="45"/>
        <v>34.315551759999977</v>
      </c>
    </row>
    <row r="98" spans="1:14" x14ac:dyDescent="0.2">
      <c r="A98" s="78"/>
      <c r="B98" s="78"/>
      <c r="C98" s="99"/>
      <c r="D98" s="99"/>
      <c r="E98" s="99"/>
      <c r="F98" s="99"/>
      <c r="G98" s="99"/>
      <c r="H98" s="99"/>
      <c r="I98" s="99"/>
      <c r="J98" s="104"/>
    </row>
    <row r="99" spans="1:14" ht="8.1" customHeight="1" x14ac:dyDescent="0.2">
      <c r="C99" s="105"/>
      <c r="D99" s="105"/>
      <c r="E99" s="105"/>
      <c r="F99" s="105"/>
      <c r="G99" s="105"/>
      <c r="H99" s="105"/>
      <c r="I99" s="105"/>
      <c r="J99" s="105"/>
    </row>
    <row r="100" spans="1:14" x14ac:dyDescent="0.2">
      <c r="A100" s="78"/>
      <c r="B100" s="78"/>
      <c r="C100" s="104"/>
      <c r="D100" s="104"/>
      <c r="E100" s="104"/>
      <c r="F100" s="104"/>
      <c r="G100" s="104"/>
      <c r="H100" s="104"/>
      <c r="I100" s="104"/>
      <c r="J100" s="104"/>
    </row>
    <row r="101" spans="1:14" ht="8.1" customHeight="1" x14ac:dyDescent="0.2">
      <c r="C101" s="105"/>
      <c r="D101" s="105"/>
      <c r="E101" s="105"/>
      <c r="F101" s="105"/>
      <c r="G101" s="105"/>
      <c r="H101" s="105"/>
      <c r="I101" s="105"/>
      <c r="J101" s="105"/>
    </row>
    <row r="102" spans="1:14" x14ac:dyDescent="0.2">
      <c r="A102" s="78"/>
      <c r="C102" s="103"/>
      <c r="D102" s="103"/>
      <c r="E102" s="103"/>
      <c r="F102" s="103"/>
      <c r="G102" s="103"/>
      <c r="H102" s="103"/>
      <c r="I102" s="103"/>
      <c r="J102" s="106"/>
    </row>
  </sheetData>
  <phoneticPr fontId="0" type="noConversion"/>
  <pageMargins left="0.25" right="0.25" top="0.75" bottom="0.75" header="0.3" footer="0.3"/>
  <pageSetup scale="58" fitToWidth="0" orientation="portrait" r:id="rId1"/>
  <headerFooter alignWithMargins="0"/>
  <rowBreaks count="1" manualBreakCount="1">
    <brk id="53" max="1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2"/>
  <sheetViews>
    <sheetView zoomScaleNormal="100" workbookViewId="0">
      <selection activeCell="F41" sqref="F41"/>
    </sheetView>
  </sheetViews>
  <sheetFormatPr defaultRowHeight="12.75" x14ac:dyDescent="0.2"/>
  <cols>
    <col min="2" max="2" width="2.5703125" customWidth="1"/>
    <col min="3" max="12" width="12.28515625" customWidth="1"/>
    <col min="13" max="13" width="2.28515625" customWidth="1"/>
    <col min="14" max="14" width="14.85546875" bestFit="1" customWidth="1"/>
    <col min="258" max="258" width="2.5703125" customWidth="1"/>
    <col min="259" max="268" width="12.28515625" customWidth="1"/>
    <col min="269" max="269" width="2.28515625" customWidth="1"/>
    <col min="270" max="270" width="14.85546875" bestFit="1" customWidth="1"/>
    <col min="514" max="514" width="2.5703125" customWidth="1"/>
    <col min="515" max="524" width="12.28515625" customWidth="1"/>
    <col min="525" max="525" width="2.28515625" customWidth="1"/>
    <col min="526" max="526" width="14.85546875" bestFit="1" customWidth="1"/>
    <col min="770" max="770" width="2.5703125" customWidth="1"/>
    <col min="771" max="780" width="12.28515625" customWidth="1"/>
    <col min="781" max="781" width="2.28515625" customWidth="1"/>
    <col min="782" max="782" width="14.85546875" bestFit="1" customWidth="1"/>
    <col min="1026" max="1026" width="2.5703125" customWidth="1"/>
    <col min="1027" max="1036" width="12.28515625" customWidth="1"/>
    <col min="1037" max="1037" width="2.28515625" customWidth="1"/>
    <col min="1038" max="1038" width="14.85546875" bestFit="1" customWidth="1"/>
    <col min="1282" max="1282" width="2.5703125" customWidth="1"/>
    <col min="1283" max="1292" width="12.28515625" customWidth="1"/>
    <col min="1293" max="1293" width="2.28515625" customWidth="1"/>
    <col min="1294" max="1294" width="14.85546875" bestFit="1" customWidth="1"/>
    <col min="1538" max="1538" width="2.5703125" customWidth="1"/>
    <col min="1539" max="1548" width="12.28515625" customWidth="1"/>
    <col min="1549" max="1549" width="2.28515625" customWidth="1"/>
    <col min="1550" max="1550" width="14.85546875" bestFit="1" customWidth="1"/>
    <col min="1794" max="1794" width="2.5703125" customWidth="1"/>
    <col min="1795" max="1804" width="12.28515625" customWidth="1"/>
    <col min="1805" max="1805" width="2.28515625" customWidth="1"/>
    <col min="1806" max="1806" width="14.85546875" bestFit="1" customWidth="1"/>
    <col min="2050" max="2050" width="2.5703125" customWidth="1"/>
    <col min="2051" max="2060" width="12.28515625" customWidth="1"/>
    <col min="2061" max="2061" width="2.28515625" customWidth="1"/>
    <col min="2062" max="2062" width="14.85546875" bestFit="1" customWidth="1"/>
    <col min="2306" max="2306" width="2.5703125" customWidth="1"/>
    <col min="2307" max="2316" width="12.28515625" customWidth="1"/>
    <col min="2317" max="2317" width="2.28515625" customWidth="1"/>
    <col min="2318" max="2318" width="14.85546875" bestFit="1" customWidth="1"/>
    <col min="2562" max="2562" width="2.5703125" customWidth="1"/>
    <col min="2563" max="2572" width="12.28515625" customWidth="1"/>
    <col min="2573" max="2573" width="2.28515625" customWidth="1"/>
    <col min="2574" max="2574" width="14.85546875" bestFit="1" customWidth="1"/>
    <col min="2818" max="2818" width="2.5703125" customWidth="1"/>
    <col min="2819" max="2828" width="12.28515625" customWidth="1"/>
    <col min="2829" max="2829" width="2.28515625" customWidth="1"/>
    <col min="2830" max="2830" width="14.85546875" bestFit="1" customWidth="1"/>
    <col min="3074" max="3074" width="2.5703125" customWidth="1"/>
    <col min="3075" max="3084" width="12.28515625" customWidth="1"/>
    <col min="3085" max="3085" width="2.28515625" customWidth="1"/>
    <col min="3086" max="3086" width="14.85546875" bestFit="1" customWidth="1"/>
    <col min="3330" max="3330" width="2.5703125" customWidth="1"/>
    <col min="3331" max="3340" width="12.28515625" customWidth="1"/>
    <col min="3341" max="3341" width="2.28515625" customWidth="1"/>
    <col min="3342" max="3342" width="14.85546875" bestFit="1" customWidth="1"/>
    <col min="3586" max="3586" width="2.5703125" customWidth="1"/>
    <col min="3587" max="3596" width="12.28515625" customWidth="1"/>
    <col min="3597" max="3597" width="2.28515625" customWidth="1"/>
    <col min="3598" max="3598" width="14.85546875" bestFit="1" customWidth="1"/>
    <col min="3842" max="3842" width="2.5703125" customWidth="1"/>
    <col min="3843" max="3852" width="12.28515625" customWidth="1"/>
    <col min="3853" max="3853" width="2.28515625" customWidth="1"/>
    <col min="3854" max="3854" width="14.85546875" bestFit="1" customWidth="1"/>
    <col min="4098" max="4098" width="2.5703125" customWidth="1"/>
    <col min="4099" max="4108" width="12.28515625" customWidth="1"/>
    <col min="4109" max="4109" width="2.28515625" customWidth="1"/>
    <col min="4110" max="4110" width="14.85546875" bestFit="1" customWidth="1"/>
    <col min="4354" max="4354" width="2.5703125" customWidth="1"/>
    <col min="4355" max="4364" width="12.28515625" customWidth="1"/>
    <col min="4365" max="4365" width="2.28515625" customWidth="1"/>
    <col min="4366" max="4366" width="14.85546875" bestFit="1" customWidth="1"/>
    <col min="4610" max="4610" width="2.5703125" customWidth="1"/>
    <col min="4611" max="4620" width="12.28515625" customWidth="1"/>
    <col min="4621" max="4621" width="2.28515625" customWidth="1"/>
    <col min="4622" max="4622" width="14.85546875" bestFit="1" customWidth="1"/>
    <col min="4866" max="4866" width="2.5703125" customWidth="1"/>
    <col min="4867" max="4876" width="12.28515625" customWidth="1"/>
    <col min="4877" max="4877" width="2.28515625" customWidth="1"/>
    <col min="4878" max="4878" width="14.85546875" bestFit="1" customWidth="1"/>
    <col min="5122" max="5122" width="2.5703125" customWidth="1"/>
    <col min="5123" max="5132" width="12.28515625" customWidth="1"/>
    <col min="5133" max="5133" width="2.28515625" customWidth="1"/>
    <col min="5134" max="5134" width="14.85546875" bestFit="1" customWidth="1"/>
    <col min="5378" max="5378" width="2.5703125" customWidth="1"/>
    <col min="5379" max="5388" width="12.28515625" customWidth="1"/>
    <col min="5389" max="5389" width="2.28515625" customWidth="1"/>
    <col min="5390" max="5390" width="14.85546875" bestFit="1" customWidth="1"/>
    <col min="5634" max="5634" width="2.5703125" customWidth="1"/>
    <col min="5635" max="5644" width="12.28515625" customWidth="1"/>
    <col min="5645" max="5645" width="2.28515625" customWidth="1"/>
    <col min="5646" max="5646" width="14.85546875" bestFit="1" customWidth="1"/>
    <col min="5890" max="5890" width="2.5703125" customWidth="1"/>
    <col min="5891" max="5900" width="12.28515625" customWidth="1"/>
    <col min="5901" max="5901" width="2.28515625" customWidth="1"/>
    <col min="5902" max="5902" width="14.85546875" bestFit="1" customWidth="1"/>
    <col min="6146" max="6146" width="2.5703125" customWidth="1"/>
    <col min="6147" max="6156" width="12.28515625" customWidth="1"/>
    <col min="6157" max="6157" width="2.28515625" customWidth="1"/>
    <col min="6158" max="6158" width="14.85546875" bestFit="1" customWidth="1"/>
    <col min="6402" max="6402" width="2.5703125" customWidth="1"/>
    <col min="6403" max="6412" width="12.28515625" customWidth="1"/>
    <col min="6413" max="6413" width="2.28515625" customWidth="1"/>
    <col min="6414" max="6414" width="14.85546875" bestFit="1" customWidth="1"/>
    <col min="6658" max="6658" width="2.5703125" customWidth="1"/>
    <col min="6659" max="6668" width="12.28515625" customWidth="1"/>
    <col min="6669" max="6669" width="2.28515625" customWidth="1"/>
    <col min="6670" max="6670" width="14.85546875" bestFit="1" customWidth="1"/>
    <col min="6914" max="6914" width="2.5703125" customWidth="1"/>
    <col min="6915" max="6924" width="12.28515625" customWidth="1"/>
    <col min="6925" max="6925" width="2.28515625" customWidth="1"/>
    <col min="6926" max="6926" width="14.85546875" bestFit="1" customWidth="1"/>
    <col min="7170" max="7170" width="2.5703125" customWidth="1"/>
    <col min="7171" max="7180" width="12.28515625" customWidth="1"/>
    <col min="7181" max="7181" width="2.28515625" customWidth="1"/>
    <col min="7182" max="7182" width="14.85546875" bestFit="1" customWidth="1"/>
    <col min="7426" max="7426" width="2.5703125" customWidth="1"/>
    <col min="7427" max="7436" width="12.28515625" customWidth="1"/>
    <col min="7437" max="7437" width="2.28515625" customWidth="1"/>
    <col min="7438" max="7438" width="14.85546875" bestFit="1" customWidth="1"/>
    <col min="7682" max="7682" width="2.5703125" customWidth="1"/>
    <col min="7683" max="7692" width="12.28515625" customWidth="1"/>
    <col min="7693" max="7693" width="2.28515625" customWidth="1"/>
    <col min="7694" max="7694" width="14.85546875" bestFit="1" customWidth="1"/>
    <col min="7938" max="7938" width="2.5703125" customWidth="1"/>
    <col min="7939" max="7948" width="12.28515625" customWidth="1"/>
    <col min="7949" max="7949" width="2.28515625" customWidth="1"/>
    <col min="7950" max="7950" width="14.85546875" bestFit="1" customWidth="1"/>
    <col min="8194" max="8194" width="2.5703125" customWidth="1"/>
    <col min="8195" max="8204" width="12.28515625" customWidth="1"/>
    <col min="8205" max="8205" width="2.28515625" customWidth="1"/>
    <col min="8206" max="8206" width="14.85546875" bestFit="1" customWidth="1"/>
    <col min="8450" max="8450" width="2.5703125" customWidth="1"/>
    <col min="8451" max="8460" width="12.28515625" customWidth="1"/>
    <col min="8461" max="8461" width="2.28515625" customWidth="1"/>
    <col min="8462" max="8462" width="14.85546875" bestFit="1" customWidth="1"/>
    <col min="8706" max="8706" width="2.5703125" customWidth="1"/>
    <col min="8707" max="8716" width="12.28515625" customWidth="1"/>
    <col min="8717" max="8717" width="2.28515625" customWidth="1"/>
    <col min="8718" max="8718" width="14.85546875" bestFit="1" customWidth="1"/>
    <col min="8962" max="8962" width="2.5703125" customWidth="1"/>
    <col min="8963" max="8972" width="12.28515625" customWidth="1"/>
    <col min="8973" max="8973" width="2.28515625" customWidth="1"/>
    <col min="8974" max="8974" width="14.85546875" bestFit="1" customWidth="1"/>
    <col min="9218" max="9218" width="2.5703125" customWidth="1"/>
    <col min="9219" max="9228" width="12.28515625" customWidth="1"/>
    <col min="9229" max="9229" width="2.28515625" customWidth="1"/>
    <col min="9230" max="9230" width="14.85546875" bestFit="1" customWidth="1"/>
    <col min="9474" max="9474" width="2.5703125" customWidth="1"/>
    <col min="9475" max="9484" width="12.28515625" customWidth="1"/>
    <col min="9485" max="9485" width="2.28515625" customWidth="1"/>
    <col min="9486" max="9486" width="14.85546875" bestFit="1" customWidth="1"/>
    <col min="9730" max="9730" width="2.5703125" customWidth="1"/>
    <col min="9731" max="9740" width="12.28515625" customWidth="1"/>
    <col min="9741" max="9741" width="2.28515625" customWidth="1"/>
    <col min="9742" max="9742" width="14.85546875" bestFit="1" customWidth="1"/>
    <col min="9986" max="9986" width="2.5703125" customWidth="1"/>
    <col min="9987" max="9996" width="12.28515625" customWidth="1"/>
    <col min="9997" max="9997" width="2.28515625" customWidth="1"/>
    <col min="9998" max="9998" width="14.85546875" bestFit="1" customWidth="1"/>
    <col min="10242" max="10242" width="2.5703125" customWidth="1"/>
    <col min="10243" max="10252" width="12.28515625" customWidth="1"/>
    <col min="10253" max="10253" width="2.28515625" customWidth="1"/>
    <col min="10254" max="10254" width="14.85546875" bestFit="1" customWidth="1"/>
    <col min="10498" max="10498" width="2.5703125" customWidth="1"/>
    <col min="10499" max="10508" width="12.28515625" customWidth="1"/>
    <col min="10509" max="10509" width="2.28515625" customWidth="1"/>
    <col min="10510" max="10510" width="14.85546875" bestFit="1" customWidth="1"/>
    <col min="10754" max="10754" width="2.5703125" customWidth="1"/>
    <col min="10755" max="10764" width="12.28515625" customWidth="1"/>
    <col min="10765" max="10765" width="2.28515625" customWidth="1"/>
    <col min="10766" max="10766" width="14.85546875" bestFit="1" customWidth="1"/>
    <col min="11010" max="11010" width="2.5703125" customWidth="1"/>
    <col min="11011" max="11020" width="12.28515625" customWidth="1"/>
    <col min="11021" max="11021" width="2.28515625" customWidth="1"/>
    <col min="11022" max="11022" width="14.85546875" bestFit="1" customWidth="1"/>
    <col min="11266" max="11266" width="2.5703125" customWidth="1"/>
    <col min="11267" max="11276" width="12.28515625" customWidth="1"/>
    <col min="11277" max="11277" width="2.28515625" customWidth="1"/>
    <col min="11278" max="11278" width="14.85546875" bestFit="1" customWidth="1"/>
    <col min="11522" max="11522" width="2.5703125" customWidth="1"/>
    <col min="11523" max="11532" width="12.28515625" customWidth="1"/>
    <col min="11533" max="11533" width="2.28515625" customWidth="1"/>
    <col min="11534" max="11534" width="14.85546875" bestFit="1" customWidth="1"/>
    <col min="11778" max="11778" width="2.5703125" customWidth="1"/>
    <col min="11779" max="11788" width="12.28515625" customWidth="1"/>
    <col min="11789" max="11789" width="2.28515625" customWidth="1"/>
    <col min="11790" max="11790" width="14.85546875" bestFit="1" customWidth="1"/>
    <col min="12034" max="12034" width="2.5703125" customWidth="1"/>
    <col min="12035" max="12044" width="12.28515625" customWidth="1"/>
    <col min="12045" max="12045" width="2.28515625" customWidth="1"/>
    <col min="12046" max="12046" width="14.85546875" bestFit="1" customWidth="1"/>
    <col min="12290" max="12290" width="2.5703125" customWidth="1"/>
    <col min="12291" max="12300" width="12.28515625" customWidth="1"/>
    <col min="12301" max="12301" width="2.28515625" customWidth="1"/>
    <col min="12302" max="12302" width="14.85546875" bestFit="1" customWidth="1"/>
    <col min="12546" max="12546" width="2.5703125" customWidth="1"/>
    <col min="12547" max="12556" width="12.28515625" customWidth="1"/>
    <col min="12557" max="12557" width="2.28515625" customWidth="1"/>
    <col min="12558" max="12558" width="14.85546875" bestFit="1" customWidth="1"/>
    <col min="12802" max="12802" width="2.5703125" customWidth="1"/>
    <col min="12803" max="12812" width="12.28515625" customWidth="1"/>
    <col min="12813" max="12813" width="2.28515625" customWidth="1"/>
    <col min="12814" max="12814" width="14.85546875" bestFit="1" customWidth="1"/>
    <col min="13058" max="13058" width="2.5703125" customWidth="1"/>
    <col min="13059" max="13068" width="12.28515625" customWidth="1"/>
    <col min="13069" max="13069" width="2.28515625" customWidth="1"/>
    <col min="13070" max="13070" width="14.85546875" bestFit="1" customWidth="1"/>
    <col min="13314" max="13314" width="2.5703125" customWidth="1"/>
    <col min="13315" max="13324" width="12.28515625" customWidth="1"/>
    <col min="13325" max="13325" width="2.28515625" customWidth="1"/>
    <col min="13326" max="13326" width="14.85546875" bestFit="1" customWidth="1"/>
    <col min="13570" max="13570" width="2.5703125" customWidth="1"/>
    <col min="13571" max="13580" width="12.28515625" customWidth="1"/>
    <col min="13581" max="13581" width="2.28515625" customWidth="1"/>
    <col min="13582" max="13582" width="14.85546875" bestFit="1" customWidth="1"/>
    <col min="13826" max="13826" width="2.5703125" customWidth="1"/>
    <col min="13827" max="13836" width="12.28515625" customWidth="1"/>
    <col min="13837" max="13837" width="2.28515625" customWidth="1"/>
    <col min="13838" max="13838" width="14.85546875" bestFit="1" customWidth="1"/>
    <col min="14082" max="14082" width="2.5703125" customWidth="1"/>
    <col min="14083" max="14092" width="12.28515625" customWidth="1"/>
    <col min="14093" max="14093" width="2.28515625" customWidth="1"/>
    <col min="14094" max="14094" width="14.85546875" bestFit="1" customWidth="1"/>
    <col min="14338" max="14338" width="2.5703125" customWidth="1"/>
    <col min="14339" max="14348" width="12.28515625" customWidth="1"/>
    <col min="14349" max="14349" width="2.28515625" customWidth="1"/>
    <col min="14350" max="14350" width="14.85546875" bestFit="1" customWidth="1"/>
    <col min="14594" max="14594" width="2.5703125" customWidth="1"/>
    <col min="14595" max="14604" width="12.28515625" customWidth="1"/>
    <col min="14605" max="14605" width="2.28515625" customWidth="1"/>
    <col min="14606" max="14606" width="14.85546875" bestFit="1" customWidth="1"/>
    <col min="14850" max="14850" width="2.5703125" customWidth="1"/>
    <col min="14851" max="14860" width="12.28515625" customWidth="1"/>
    <col min="14861" max="14861" width="2.28515625" customWidth="1"/>
    <col min="14862" max="14862" width="14.85546875" bestFit="1" customWidth="1"/>
    <col min="15106" max="15106" width="2.5703125" customWidth="1"/>
    <col min="15107" max="15116" width="12.28515625" customWidth="1"/>
    <col min="15117" max="15117" width="2.28515625" customWidth="1"/>
    <col min="15118" max="15118" width="14.85546875" bestFit="1" customWidth="1"/>
    <col min="15362" max="15362" width="2.5703125" customWidth="1"/>
    <col min="15363" max="15372" width="12.28515625" customWidth="1"/>
    <col min="15373" max="15373" width="2.28515625" customWidth="1"/>
    <col min="15374" max="15374" width="14.85546875" bestFit="1" customWidth="1"/>
    <col min="15618" max="15618" width="2.5703125" customWidth="1"/>
    <col min="15619" max="15628" width="12.28515625" customWidth="1"/>
    <col min="15629" max="15629" width="2.28515625" customWidth="1"/>
    <col min="15630" max="15630" width="14.85546875" bestFit="1" customWidth="1"/>
    <col min="15874" max="15874" width="2.5703125" customWidth="1"/>
    <col min="15875" max="15884" width="12.28515625" customWidth="1"/>
    <col min="15885" max="15885" width="2.28515625" customWidth="1"/>
    <col min="15886" max="15886" width="14.85546875" bestFit="1" customWidth="1"/>
    <col min="16130" max="16130" width="2.5703125" customWidth="1"/>
    <col min="16131" max="16140" width="12.28515625" customWidth="1"/>
    <col min="16141" max="16141" width="2.28515625" customWidth="1"/>
    <col min="16142" max="16142" width="14.85546875" bestFit="1" customWidth="1"/>
  </cols>
  <sheetData>
    <row r="1" spans="1:16" x14ac:dyDescent="0.2">
      <c r="A1" s="52" t="str">
        <f>"Residential Tonnages by Commodity:  "&amp;TEXT(A7,"mmmm")&amp;" - "&amp;TEXT(A12,"mmmm")</f>
        <v>Residential Tonnages by Commodity:  May - October</v>
      </c>
      <c r="B1" s="53"/>
    </row>
    <row r="2" spans="1:16" ht="13.5" customHeight="1" x14ac:dyDescent="0.2">
      <c r="A2" s="54" t="str">
        <f>'WUTC_KENT_MF 181017'!A1</f>
        <v>Kent-Meridian Disposal</v>
      </c>
      <c r="B2" s="54"/>
    </row>
    <row r="3" spans="1:16" ht="13.5" customHeight="1" x14ac:dyDescent="0.2">
      <c r="A3" s="54"/>
      <c r="B3" s="54"/>
    </row>
    <row r="4" spans="1:16" x14ac:dyDescent="0.2">
      <c r="A4" s="53"/>
      <c r="B4" s="55"/>
      <c r="C4" s="56" t="s">
        <v>21</v>
      </c>
      <c r="D4" s="56" t="s">
        <v>22</v>
      </c>
      <c r="E4" s="56" t="s">
        <v>55</v>
      </c>
      <c r="F4" s="56" t="s">
        <v>23</v>
      </c>
      <c r="G4" s="56" t="s">
        <v>24</v>
      </c>
      <c r="H4" s="56" t="s">
        <v>25</v>
      </c>
      <c r="I4" s="56" t="s">
        <v>26</v>
      </c>
      <c r="J4" s="56" t="s">
        <v>27</v>
      </c>
      <c r="K4" s="56" t="s">
        <v>28</v>
      </c>
      <c r="L4" s="56" t="s">
        <v>29</v>
      </c>
      <c r="M4" s="56"/>
      <c r="N4" s="56" t="s">
        <v>30</v>
      </c>
    </row>
    <row r="5" spans="1:16" s="58" customFormat="1" x14ac:dyDescent="0.2">
      <c r="A5" s="57"/>
      <c r="B5" s="57"/>
      <c r="C5" s="107">
        <v>55</v>
      </c>
      <c r="D5" s="108">
        <v>57</v>
      </c>
      <c r="E5" s="108">
        <v>58</v>
      </c>
      <c r="F5" s="107">
        <v>53</v>
      </c>
      <c r="G5" s="107">
        <v>50</v>
      </c>
      <c r="H5" s="107">
        <v>60</v>
      </c>
      <c r="I5" s="107">
        <v>54</v>
      </c>
      <c r="J5" s="107">
        <v>54</v>
      </c>
      <c r="K5" s="107">
        <v>51</v>
      </c>
      <c r="L5" s="107">
        <v>59</v>
      </c>
    </row>
    <row r="6" spans="1:16" x14ac:dyDescent="0.2">
      <c r="A6" s="59"/>
      <c r="B6" s="60"/>
      <c r="C6" s="61"/>
      <c r="D6" s="61"/>
      <c r="E6" s="61"/>
      <c r="F6" s="61"/>
      <c r="G6" s="61"/>
      <c r="H6" s="61"/>
      <c r="I6" s="61"/>
      <c r="J6" s="61"/>
      <c r="L6" s="60"/>
      <c r="M6" s="60"/>
      <c r="N6" s="61" t="s">
        <v>31</v>
      </c>
    </row>
    <row r="7" spans="1:16" x14ac:dyDescent="0.2">
      <c r="A7" s="59">
        <f>'Multi_Family 181017'!C6</f>
        <v>43251</v>
      </c>
      <c r="B7" s="60"/>
      <c r="C7" s="65">
        <f>HLOOKUP($A7,'Multi_Family 181017'!$C$6:$N$79,C$5,FALSE)</f>
        <v>6.8775000000000003E-2</v>
      </c>
      <c r="D7" s="69">
        <f>HLOOKUP($A7,'Multi_Family 181017'!$C$6:$N$79,D$5,FALSE)</f>
        <v>1.621256</v>
      </c>
      <c r="E7" s="69">
        <f>HLOOKUP($A7,'Multi_Family 181017'!$C$6:$N$79,E$5,FALSE)</f>
        <v>0</v>
      </c>
      <c r="F7" s="65">
        <f>HLOOKUP($A7,'Multi_Family 181017'!$C$6:$N$79,F$5,FALSE)</f>
        <v>0.151305</v>
      </c>
      <c r="G7" s="65">
        <f>HLOOKUP($A7,'Multi_Family 181017'!$C$6:$N$79,G$5,FALSE)</f>
        <v>0</v>
      </c>
      <c r="H7" s="65">
        <f>HLOOKUP($A7,'Multi_Family 181017'!$C$6:$N$79,H$5,FALSE)</f>
        <v>4.7390559999999988</v>
      </c>
      <c r="I7" s="65">
        <f>HLOOKUP($A7,'Multi_Family 181017'!$C$6:$N$79,I$5,FALSE)/2</f>
        <v>0.20586650000000001</v>
      </c>
      <c r="J7" s="65">
        <f>HLOOKUP($A7,'Multi_Family 181017'!$C$6:$N$79,J$5,FALSE)/2</f>
        <v>0.20586650000000001</v>
      </c>
      <c r="K7" s="65">
        <f>HLOOKUP($A7,'Multi_Family 181017'!$C$6:$N$79,K$5,FALSE)</f>
        <v>1.6340939999999999</v>
      </c>
      <c r="L7" s="69">
        <f>HLOOKUP($A7,'Multi_Family 181017'!$C$6:$N$79,L$5,FALSE)</f>
        <v>0.54378100000000118</v>
      </c>
      <c r="M7" s="70"/>
      <c r="N7" s="70">
        <f t="shared" ref="N7:N18" si="0">SUM(C7:L7)</f>
        <v>9.17</v>
      </c>
      <c r="P7" s="62"/>
    </row>
    <row r="8" spans="1:16" x14ac:dyDescent="0.2">
      <c r="A8" s="59">
        <f t="shared" ref="A8:A18" si="1">EOMONTH(A7,1)</f>
        <v>43281</v>
      </c>
      <c r="B8" s="60"/>
      <c r="C8" s="65">
        <f>HLOOKUP($A8,'Multi_Family 181017'!$C$6:$N$79,C$5,FALSE)</f>
        <v>6.7275000000000001E-2</v>
      </c>
      <c r="D8" s="69">
        <f>HLOOKUP($A8,'Multi_Family 181017'!$C$6:$N$79,D$5,FALSE)</f>
        <v>1.5858960000000002</v>
      </c>
      <c r="E8" s="69">
        <f>HLOOKUP($A8,'Multi_Family 181017'!$C$6:$N$79,E$5,FALSE)</f>
        <v>0</v>
      </c>
      <c r="F8" s="65">
        <f>HLOOKUP($A8,'Multi_Family 181017'!$C$6:$N$79,F$5,FALSE)</f>
        <v>0.14800500000000003</v>
      </c>
      <c r="G8" s="65">
        <f>HLOOKUP($A8,'Multi_Family 181017'!$C$6:$N$79,G$5,FALSE)</f>
        <v>0</v>
      </c>
      <c r="H8" s="65">
        <f>HLOOKUP($A8,'Multi_Family 181017'!$C$6:$N$79,H$5,FALSE)</f>
        <v>4.6356959999999994</v>
      </c>
      <c r="I8" s="65">
        <f>HLOOKUP($A8,'Multi_Family 181017'!$C$6:$N$79,I$5,FALSE)/2</f>
        <v>0.20137650000000001</v>
      </c>
      <c r="J8" s="65">
        <f>HLOOKUP($A8,'Multi_Family 181017'!$C$6:$N$79,J$5,FALSE)/2</f>
        <v>0.20137650000000001</v>
      </c>
      <c r="K8" s="65">
        <f>HLOOKUP($A8,'Multi_Family 181017'!$C$6:$N$79,K$5,FALSE)</f>
        <v>1.598454</v>
      </c>
      <c r="L8" s="69">
        <f>HLOOKUP($A8,'Multi_Family 181017'!$C$6:$N$79,L$5,FALSE)</f>
        <v>0.5319210000000012</v>
      </c>
      <c r="M8" s="70"/>
      <c r="N8" s="70">
        <f t="shared" si="0"/>
        <v>8.9700000000000006</v>
      </c>
      <c r="P8" s="62"/>
    </row>
    <row r="9" spans="1:16" x14ac:dyDescent="0.2">
      <c r="A9" s="59">
        <f t="shared" si="1"/>
        <v>43312</v>
      </c>
      <c r="B9" s="60"/>
      <c r="C9" s="65">
        <f>HLOOKUP($A9,'Multi_Family 181017'!$C$6:$N$79,C$5,FALSE)</f>
        <v>4.1024999999999999E-2</v>
      </c>
      <c r="D9" s="69">
        <f>HLOOKUP($A9,'Multi_Family 181017'!$C$6:$N$79,D$5,FALSE)</f>
        <v>0.96709600000000007</v>
      </c>
      <c r="E9" s="69">
        <f>HLOOKUP($A9,'Multi_Family 181017'!$C$6:$N$79,E$5,FALSE)</f>
        <v>0</v>
      </c>
      <c r="F9" s="65">
        <f>HLOOKUP($A9,'Multi_Family 181017'!$C$6:$N$79,F$5,FALSE)</f>
        <v>9.0255000000000002E-2</v>
      </c>
      <c r="G9" s="65">
        <f>HLOOKUP($A9,'Multi_Family 181017'!$C$6:$N$79,G$5,FALSE)</f>
        <v>0</v>
      </c>
      <c r="H9" s="65">
        <f>HLOOKUP($A9,'Multi_Family 181017'!$C$6:$N$79,H$5,FALSE)</f>
        <v>2.8268959999999992</v>
      </c>
      <c r="I9" s="65">
        <f>HLOOKUP($A9,'Multi_Family 181017'!$C$6:$N$79,I$5,FALSE)/2</f>
        <v>0.12280150000000001</v>
      </c>
      <c r="J9" s="65">
        <f>HLOOKUP($A9,'Multi_Family 181017'!$C$6:$N$79,J$5,FALSE)/2</f>
        <v>0.12280150000000001</v>
      </c>
      <c r="K9" s="65">
        <f>HLOOKUP($A9,'Multi_Family 181017'!$C$6:$N$79,K$5,FALSE)</f>
        <v>0.9747539999999999</v>
      </c>
      <c r="L9" s="69">
        <f>HLOOKUP($A9,'Multi_Family 181017'!$C$6:$N$79,L$5,FALSE)</f>
        <v>0.32437100000000069</v>
      </c>
      <c r="M9" s="70"/>
      <c r="N9" s="70">
        <f t="shared" si="0"/>
        <v>5.47</v>
      </c>
      <c r="P9" s="62"/>
    </row>
    <row r="10" spans="1:16" x14ac:dyDescent="0.2">
      <c r="A10" s="59">
        <f t="shared" si="1"/>
        <v>43343</v>
      </c>
      <c r="B10" s="60"/>
      <c r="C10" s="65">
        <f>HLOOKUP($A10,'Multi_Family 181017'!$C$6:$N$79,C$5,FALSE)</f>
        <v>3.9824999999999992E-2</v>
      </c>
      <c r="D10" s="69">
        <f>HLOOKUP($A10,'Multi_Family 181017'!$C$6:$N$79,D$5,FALSE)</f>
        <v>0.93880799999999998</v>
      </c>
      <c r="E10" s="69">
        <f>HLOOKUP($A10,'Multi_Family 181017'!$C$6:$N$79,E$5,FALSE)</f>
        <v>0</v>
      </c>
      <c r="F10" s="65">
        <f>HLOOKUP($A10,'Multi_Family 181017'!$C$6:$N$79,F$5,FALSE)</f>
        <v>8.7614999999999998E-2</v>
      </c>
      <c r="G10" s="65">
        <f>HLOOKUP($A10,'Multi_Family 181017'!$C$6:$N$79,G$5,FALSE)</f>
        <v>0</v>
      </c>
      <c r="H10" s="65">
        <f>HLOOKUP($A10,'Multi_Family 181017'!$C$6:$N$79,H$5,FALSE)</f>
        <v>2.7442079999999995</v>
      </c>
      <c r="I10" s="65">
        <f>HLOOKUP($A10,'Multi_Family 181017'!$C$6:$N$79,I$5,FALSE)/2</f>
        <v>0.1192095</v>
      </c>
      <c r="J10" s="65">
        <f>HLOOKUP($A10,'Multi_Family 181017'!$C$6:$N$79,J$5,FALSE)/2</f>
        <v>0.1192095</v>
      </c>
      <c r="K10" s="65">
        <f>HLOOKUP($A10,'Multi_Family 181017'!$C$6:$N$79,K$5,FALSE)</f>
        <v>0.94624199999999992</v>
      </c>
      <c r="L10" s="69">
        <f>HLOOKUP($A10,'Multi_Family 181017'!$C$6:$N$79,L$5,FALSE)</f>
        <v>0.31488300000000069</v>
      </c>
      <c r="M10" s="70"/>
      <c r="N10" s="70">
        <f t="shared" si="0"/>
        <v>5.3100000000000005</v>
      </c>
      <c r="P10" s="62"/>
    </row>
    <row r="11" spans="1:16" x14ac:dyDescent="0.2">
      <c r="A11" s="59">
        <f t="shared" si="1"/>
        <v>43373</v>
      </c>
      <c r="B11" s="60"/>
      <c r="C11" s="65">
        <f>HLOOKUP($A11,'Multi_Family 181017'!$C$6:$N$79,C$5,FALSE)</f>
        <v>3.7350000000000001E-2</v>
      </c>
      <c r="D11" s="69">
        <f>HLOOKUP($A11,'Multi_Family 181017'!$C$6:$N$79,D$5,FALSE)</f>
        <v>0.88046400000000014</v>
      </c>
      <c r="E11" s="69">
        <f>HLOOKUP($A11,'Multi_Family 181017'!$C$6:$N$79,E$5,FALSE)</f>
        <v>0</v>
      </c>
      <c r="F11" s="65">
        <f>HLOOKUP($A11,'Multi_Family 181017'!$C$6:$N$79,F$5,FALSE)</f>
        <v>8.2170000000000007E-2</v>
      </c>
      <c r="G11" s="65">
        <f>HLOOKUP($A11,'Multi_Family 181017'!$C$6:$N$79,G$5,FALSE)</f>
        <v>0</v>
      </c>
      <c r="H11" s="65">
        <f>HLOOKUP($A11,'Multi_Family 181017'!$C$6:$N$79,H$5,FALSE)</f>
        <v>2.5736639999999995</v>
      </c>
      <c r="I11" s="65">
        <f>HLOOKUP($A11,'Multi_Family 181017'!$C$6:$N$79,I$5,FALSE)/2</f>
        <v>0.11180100000000001</v>
      </c>
      <c r="J11" s="65">
        <f>HLOOKUP($A11,'Multi_Family 181017'!$C$6:$N$79,J$5,FALSE)/2</f>
        <v>0.11180100000000001</v>
      </c>
      <c r="K11" s="65">
        <f>HLOOKUP($A11,'Multi_Family 181017'!$C$6:$N$79,K$5,FALSE)</f>
        <v>0.88743600000000011</v>
      </c>
      <c r="L11" s="69">
        <f>HLOOKUP($A11,'Multi_Family 181017'!$C$6:$N$79,L$5,FALSE)</f>
        <v>0.29531400000000069</v>
      </c>
      <c r="M11" s="70"/>
      <c r="N11" s="70">
        <f t="shared" si="0"/>
        <v>4.9799999999999995</v>
      </c>
      <c r="P11" s="62"/>
    </row>
    <row r="12" spans="1:16" x14ac:dyDescent="0.2">
      <c r="A12" s="59">
        <f t="shared" si="1"/>
        <v>43404</v>
      </c>
      <c r="B12" s="60"/>
      <c r="C12" s="65">
        <f>HLOOKUP($A12,'Multi_Family 181017'!$C$6:$N$79,C$5,FALSE)</f>
        <v>3.9600000000000003E-2</v>
      </c>
      <c r="D12" s="69">
        <f>HLOOKUP($A12,'Multi_Family 181017'!$C$6:$N$79,D$5,FALSE)</f>
        <v>0.93350400000000011</v>
      </c>
      <c r="E12" s="69">
        <f>HLOOKUP($A12,'Multi_Family 181017'!$C$6:$N$79,E$5,FALSE)</f>
        <v>0</v>
      </c>
      <c r="F12" s="65">
        <f>HLOOKUP($A12,'Multi_Family 181017'!$C$6:$N$79,F$5,FALSE)</f>
        <v>8.7120000000000003E-2</v>
      </c>
      <c r="G12" s="65">
        <f>HLOOKUP($A12,'Multi_Family 181017'!$C$6:$N$79,G$5,FALSE)</f>
        <v>0</v>
      </c>
      <c r="H12" s="65">
        <f>HLOOKUP($A12,'Multi_Family 181017'!$C$6:$N$79,H$5,FALSE)</f>
        <v>2.7287039999999996</v>
      </c>
      <c r="I12" s="65">
        <f>HLOOKUP($A12,'Multi_Family 181017'!$C$6:$N$79,I$5,FALSE)/2</f>
        <v>0.11853600000000002</v>
      </c>
      <c r="J12" s="65">
        <f>HLOOKUP($A12,'Multi_Family 181017'!$C$6:$N$79,J$5,FALSE)/2</f>
        <v>0.11853600000000002</v>
      </c>
      <c r="K12" s="65">
        <f>HLOOKUP($A12,'Multi_Family 181017'!$C$6:$N$79,K$5,FALSE)</f>
        <v>0.94089600000000007</v>
      </c>
      <c r="L12" s="69">
        <f>HLOOKUP($A12,'Multi_Family 181017'!$C$6:$N$79,L$5,FALSE)</f>
        <v>0.31310400000000072</v>
      </c>
      <c r="M12" s="70"/>
      <c r="N12" s="70">
        <f t="shared" si="0"/>
        <v>5.2800000000000011</v>
      </c>
      <c r="P12" s="62"/>
    </row>
    <row r="13" spans="1:16" x14ac:dyDescent="0.2">
      <c r="A13" s="59">
        <f t="shared" si="1"/>
        <v>43434</v>
      </c>
      <c r="B13" s="60"/>
      <c r="C13" s="65">
        <f>HLOOKUP($A13,'Multi_Family 181017'!$C$6:$N$79,C$5,FALSE)</f>
        <v>0</v>
      </c>
      <c r="D13" s="69">
        <f>HLOOKUP($A13,'Multi_Family 181017'!$C$6:$N$79,D$5,FALSE)</f>
        <v>0</v>
      </c>
      <c r="E13" s="69">
        <f>HLOOKUP($A13,'Multi_Family 181017'!$C$6:$N$79,E$5,FALSE)</f>
        <v>0</v>
      </c>
      <c r="F13" s="65">
        <f>HLOOKUP($A13,'Multi_Family 181017'!$C$6:$N$79,F$5,FALSE)</f>
        <v>0</v>
      </c>
      <c r="G13" s="65">
        <f>HLOOKUP($A13,'Multi_Family 181017'!$C$6:$N$79,G$5,FALSE)</f>
        <v>0</v>
      </c>
      <c r="H13" s="65">
        <f>HLOOKUP($A13,'Multi_Family 181017'!$C$6:$N$79,H$5,FALSE)</f>
        <v>0</v>
      </c>
      <c r="I13" s="65">
        <f>HLOOKUP($A13,'Multi_Family 181017'!$C$6:$N$79,I$5,FALSE)/2</f>
        <v>0</v>
      </c>
      <c r="J13" s="65">
        <f>HLOOKUP($A13,'Multi_Family 181017'!$C$6:$N$79,J$5,FALSE)/2</f>
        <v>0</v>
      </c>
      <c r="K13" s="65">
        <f>HLOOKUP($A13,'Multi_Family 181017'!$C$6:$N$79,K$5,FALSE)</f>
        <v>0</v>
      </c>
      <c r="L13" s="69">
        <f>HLOOKUP($A13,'Multi_Family 181017'!$C$6:$N$79,L$5,FALSE)</f>
        <v>0</v>
      </c>
      <c r="M13" s="70"/>
      <c r="N13" s="70">
        <f t="shared" si="0"/>
        <v>0</v>
      </c>
      <c r="P13" s="62"/>
    </row>
    <row r="14" spans="1:16" x14ac:dyDescent="0.2">
      <c r="A14" s="59">
        <f t="shared" si="1"/>
        <v>43465</v>
      </c>
      <c r="B14" s="60"/>
      <c r="C14" s="65">
        <f>HLOOKUP($A14,'Multi_Family 181017'!$C$6:$N$79,C$5,FALSE)</f>
        <v>0</v>
      </c>
      <c r="D14" s="69">
        <f>HLOOKUP($A14,'Multi_Family 181017'!$C$6:$N$79,D$5,FALSE)</f>
        <v>0</v>
      </c>
      <c r="E14" s="69">
        <f>HLOOKUP($A14,'Multi_Family 181017'!$C$6:$N$79,E$5,FALSE)</f>
        <v>0</v>
      </c>
      <c r="F14" s="65">
        <f>HLOOKUP($A14,'Multi_Family 181017'!$C$6:$N$79,F$5,FALSE)</f>
        <v>0</v>
      </c>
      <c r="G14" s="65">
        <f>HLOOKUP($A14,'Multi_Family 181017'!$C$6:$N$79,G$5,FALSE)</f>
        <v>0</v>
      </c>
      <c r="H14" s="65">
        <f>HLOOKUP($A14,'Multi_Family 181017'!$C$6:$N$79,H$5,FALSE)</f>
        <v>0</v>
      </c>
      <c r="I14" s="65">
        <f>HLOOKUP($A14,'Multi_Family 181017'!$C$6:$N$79,I$5,FALSE)/2</f>
        <v>0</v>
      </c>
      <c r="J14" s="65">
        <f>HLOOKUP($A14,'Multi_Family 181017'!$C$6:$N$79,J$5,FALSE)/2</f>
        <v>0</v>
      </c>
      <c r="K14" s="65">
        <f>HLOOKUP($A14,'Multi_Family 181017'!$C$6:$N$79,K$5,FALSE)</f>
        <v>0</v>
      </c>
      <c r="L14" s="69">
        <f>HLOOKUP($A14,'Multi_Family 181017'!$C$6:$N$79,L$5,FALSE)</f>
        <v>0</v>
      </c>
      <c r="M14" s="70"/>
      <c r="N14" s="70">
        <f t="shared" si="0"/>
        <v>0</v>
      </c>
      <c r="P14" s="62"/>
    </row>
    <row r="15" spans="1:16" x14ac:dyDescent="0.2">
      <c r="A15" s="59">
        <f t="shared" si="1"/>
        <v>43496</v>
      </c>
      <c r="B15" s="60"/>
      <c r="C15" s="65">
        <f>HLOOKUP($A15,'Multi_Family 181017'!$C$6:$N$79,C$5,FALSE)</f>
        <v>0</v>
      </c>
      <c r="D15" s="69">
        <f>HLOOKUP($A15,'Multi_Family 181017'!$C$6:$N$79,D$5,FALSE)</f>
        <v>0</v>
      </c>
      <c r="E15" s="69">
        <f>HLOOKUP($A15,'Multi_Family 181017'!$C$6:$N$79,E$5,FALSE)</f>
        <v>0</v>
      </c>
      <c r="F15" s="65">
        <f>HLOOKUP($A15,'Multi_Family 181017'!$C$6:$N$79,F$5,FALSE)</f>
        <v>0</v>
      </c>
      <c r="G15" s="65">
        <f>HLOOKUP($A15,'Multi_Family 181017'!$C$6:$N$79,G$5,FALSE)</f>
        <v>0</v>
      </c>
      <c r="H15" s="65">
        <f>HLOOKUP($A15,'Multi_Family 181017'!$C$6:$N$79,H$5,FALSE)</f>
        <v>0</v>
      </c>
      <c r="I15" s="65">
        <f>HLOOKUP($A15,'Multi_Family 181017'!$C$6:$N$79,I$5,FALSE)/2</f>
        <v>0</v>
      </c>
      <c r="J15" s="65">
        <f>HLOOKUP($A15,'Multi_Family 181017'!$C$6:$N$79,J$5,FALSE)/2</f>
        <v>0</v>
      </c>
      <c r="K15" s="65">
        <f>HLOOKUP($A15,'Multi_Family 181017'!$C$6:$N$79,K$5,FALSE)</f>
        <v>0</v>
      </c>
      <c r="L15" s="69">
        <f>HLOOKUP($A15,'Multi_Family 181017'!$C$6:$N$79,L$5,FALSE)</f>
        <v>0</v>
      </c>
      <c r="M15" s="70"/>
      <c r="N15" s="70">
        <f t="shared" si="0"/>
        <v>0</v>
      </c>
      <c r="P15" s="62"/>
    </row>
    <row r="16" spans="1:16" x14ac:dyDescent="0.2">
      <c r="A16" s="59">
        <f t="shared" si="1"/>
        <v>43524</v>
      </c>
      <c r="B16" s="60"/>
      <c r="C16" s="65">
        <f>HLOOKUP($A16,'Multi_Family 181017'!$C$6:$N$79,C$5,FALSE)</f>
        <v>0</v>
      </c>
      <c r="D16" s="69">
        <f>HLOOKUP($A16,'Multi_Family 181017'!$C$6:$N$79,D$5,FALSE)</f>
        <v>0</v>
      </c>
      <c r="E16" s="69">
        <f>HLOOKUP($A16,'Multi_Family 181017'!$C$6:$N$79,E$5,FALSE)</f>
        <v>0</v>
      </c>
      <c r="F16" s="65">
        <f>HLOOKUP($A16,'Multi_Family 181017'!$C$6:$N$79,F$5,FALSE)</f>
        <v>0</v>
      </c>
      <c r="G16" s="65">
        <f>HLOOKUP($A16,'Multi_Family 181017'!$C$6:$N$79,G$5,FALSE)</f>
        <v>0</v>
      </c>
      <c r="H16" s="65">
        <f>HLOOKUP($A16,'Multi_Family 181017'!$C$6:$N$79,H$5,FALSE)</f>
        <v>0</v>
      </c>
      <c r="I16" s="65">
        <f>HLOOKUP($A16,'Multi_Family 181017'!$C$6:$N$79,I$5,FALSE)/2</f>
        <v>0</v>
      </c>
      <c r="J16" s="65">
        <f>HLOOKUP($A16,'Multi_Family 181017'!$C$6:$N$79,J$5,FALSE)/2</f>
        <v>0</v>
      </c>
      <c r="K16" s="65">
        <f>HLOOKUP($A16,'Multi_Family 181017'!$C$6:$N$79,K$5,FALSE)</f>
        <v>0</v>
      </c>
      <c r="L16" s="69">
        <f>HLOOKUP($A16,'Multi_Family 181017'!$C$6:$N$79,L$5,FALSE)</f>
        <v>0</v>
      </c>
      <c r="M16" s="70"/>
      <c r="N16" s="70">
        <f t="shared" si="0"/>
        <v>0</v>
      </c>
      <c r="P16" s="62"/>
    </row>
    <row r="17" spans="1:16" x14ac:dyDescent="0.2">
      <c r="A17" s="59">
        <f t="shared" si="1"/>
        <v>43555</v>
      </c>
      <c r="B17" s="60"/>
      <c r="C17" s="65">
        <f>HLOOKUP($A17,'Multi_Family 181017'!$C$6:$N$79,C$5,FALSE)</f>
        <v>0</v>
      </c>
      <c r="D17" s="69">
        <f>HLOOKUP($A17,'Multi_Family 181017'!$C$6:$N$79,D$5,FALSE)</f>
        <v>0</v>
      </c>
      <c r="E17" s="69">
        <f>HLOOKUP($A17,'Multi_Family 181017'!$C$6:$N$79,E$5,FALSE)</f>
        <v>0</v>
      </c>
      <c r="F17" s="65">
        <f>HLOOKUP($A17,'Multi_Family 181017'!$C$6:$N$79,F$5,FALSE)</f>
        <v>0</v>
      </c>
      <c r="G17" s="65">
        <f>HLOOKUP($A17,'Multi_Family 181017'!$C$6:$N$79,G$5,FALSE)</f>
        <v>0</v>
      </c>
      <c r="H17" s="65">
        <f>HLOOKUP($A17,'Multi_Family 181017'!$C$6:$N$79,H$5,FALSE)</f>
        <v>0</v>
      </c>
      <c r="I17" s="65">
        <f>HLOOKUP($A17,'Multi_Family 181017'!$C$6:$N$79,I$5,FALSE)/2</f>
        <v>0</v>
      </c>
      <c r="J17" s="65">
        <f>HLOOKUP($A17,'Multi_Family 181017'!$C$6:$N$79,J$5,FALSE)/2</f>
        <v>0</v>
      </c>
      <c r="K17" s="65">
        <f>HLOOKUP($A17,'Multi_Family 181017'!$C$6:$N$79,K$5,FALSE)</f>
        <v>0</v>
      </c>
      <c r="L17" s="69">
        <f>HLOOKUP($A17,'Multi_Family 181017'!$C$6:$N$79,L$5,FALSE)</f>
        <v>0</v>
      </c>
      <c r="M17" s="70"/>
      <c r="N17" s="70">
        <f t="shared" si="0"/>
        <v>0</v>
      </c>
      <c r="P17" s="62"/>
    </row>
    <row r="18" spans="1:16" x14ac:dyDescent="0.2">
      <c r="A18" s="59">
        <f t="shared" si="1"/>
        <v>43585</v>
      </c>
      <c r="B18" s="60"/>
      <c r="C18" s="65">
        <f>HLOOKUP($A18,'Multi_Family 181017'!$C$6:$N$79,C$5,FALSE)</f>
        <v>0</v>
      </c>
      <c r="D18" s="69">
        <f>HLOOKUP($A18,'Multi_Family 181017'!$C$6:$N$79,D$5,FALSE)</f>
        <v>0</v>
      </c>
      <c r="E18" s="69">
        <f>HLOOKUP($A18,'Multi_Family 181017'!$C$6:$N$79,E$5,FALSE)</f>
        <v>0</v>
      </c>
      <c r="F18" s="65">
        <f>HLOOKUP($A18,'Multi_Family 181017'!$C$6:$N$79,F$5,FALSE)</f>
        <v>0</v>
      </c>
      <c r="G18" s="65">
        <f>HLOOKUP($A18,'Multi_Family 181017'!$C$6:$N$79,G$5,FALSE)</f>
        <v>0</v>
      </c>
      <c r="H18" s="65">
        <f>HLOOKUP($A18,'Multi_Family 181017'!$C$6:$N$79,H$5,FALSE)</f>
        <v>0</v>
      </c>
      <c r="I18" s="65">
        <f>HLOOKUP($A18,'Multi_Family 181017'!$C$6:$N$79,I$5,FALSE)/2</f>
        <v>0</v>
      </c>
      <c r="J18" s="65">
        <f>HLOOKUP($A18,'Multi_Family 181017'!$C$6:$N$79,J$5,FALSE)/2</f>
        <v>0</v>
      </c>
      <c r="K18" s="65">
        <f>HLOOKUP($A18,'Multi_Family 181017'!$C$6:$N$79,K$5,FALSE)</f>
        <v>0</v>
      </c>
      <c r="L18" s="69">
        <f>HLOOKUP($A18,'Multi_Family 181017'!$C$6:$N$79,L$5,FALSE)</f>
        <v>0</v>
      </c>
      <c r="M18" s="70"/>
      <c r="N18" s="70">
        <f t="shared" si="0"/>
        <v>0</v>
      </c>
      <c r="P18" s="62"/>
    </row>
    <row r="19" spans="1:16" ht="13.5" customHeight="1" x14ac:dyDescent="0.2">
      <c r="A19" s="59"/>
      <c r="B19" s="60"/>
      <c r="C19" s="70"/>
      <c r="D19" s="70"/>
      <c r="E19" s="70"/>
      <c r="F19" s="70"/>
      <c r="G19" s="70"/>
      <c r="H19" s="70"/>
      <c r="I19" s="70"/>
      <c r="J19" s="70"/>
      <c r="K19" s="70"/>
      <c r="L19" s="70"/>
      <c r="M19" s="70"/>
      <c r="N19" s="70"/>
      <c r="O19" t="s">
        <v>32</v>
      </c>
    </row>
    <row r="20" spans="1:16" x14ac:dyDescent="0.2">
      <c r="A20" s="63" t="s">
        <v>33</v>
      </c>
      <c r="B20" s="60"/>
      <c r="C20" s="77">
        <f t="shared" ref="C20:L20" si="2">SUM(C7:C19)</f>
        <v>0.29385000000000006</v>
      </c>
      <c r="D20" s="77">
        <f t="shared" si="2"/>
        <v>6.9270240000000003</v>
      </c>
      <c r="E20" s="77">
        <f t="shared" si="2"/>
        <v>0</v>
      </c>
      <c r="F20" s="77">
        <f t="shared" si="2"/>
        <v>0.64646999999999999</v>
      </c>
      <c r="G20" s="77">
        <f t="shared" si="2"/>
        <v>0</v>
      </c>
      <c r="H20" s="77">
        <f t="shared" si="2"/>
        <v>20.248223999999997</v>
      </c>
      <c r="I20" s="77">
        <f t="shared" si="2"/>
        <v>0.87959100000000001</v>
      </c>
      <c r="J20" s="77">
        <f t="shared" si="2"/>
        <v>0.87959100000000001</v>
      </c>
      <c r="K20" s="77">
        <f t="shared" si="2"/>
        <v>6.9818760000000006</v>
      </c>
      <c r="L20" s="77">
        <f t="shared" si="2"/>
        <v>2.3233740000000047</v>
      </c>
      <c r="M20" s="70"/>
      <c r="N20" s="77">
        <f>SUM(N7:N18)</f>
        <v>39.18</v>
      </c>
      <c r="O20" s="61">
        <f>N20/15</f>
        <v>2.6120000000000001</v>
      </c>
    </row>
    <row r="21" spans="1:16" x14ac:dyDescent="0.2">
      <c r="A21" s="59"/>
      <c r="B21" s="60"/>
      <c r="C21" s="60"/>
      <c r="D21" s="60"/>
      <c r="E21" s="60"/>
      <c r="F21" s="60"/>
      <c r="G21" s="60"/>
      <c r="H21" s="60"/>
      <c r="I21" s="60"/>
      <c r="J21" s="60"/>
      <c r="K21" s="60"/>
      <c r="L21" s="60"/>
      <c r="M21" s="60"/>
      <c r="N21" s="61" t="str">
        <f>IF(N20&lt;&gt;SUM('Multi_Family 181017'!$C$66:$N$66),"ERROR","")</f>
        <v/>
      </c>
    </row>
    <row r="22" spans="1:16" x14ac:dyDescent="0.2">
      <c r="A22" s="60"/>
      <c r="B22" s="60"/>
      <c r="C22" s="60"/>
      <c r="D22" s="60"/>
      <c r="E22" s="60"/>
      <c r="F22" s="60"/>
      <c r="G22" s="60"/>
      <c r="H22" s="60"/>
      <c r="I22" s="60"/>
      <c r="J22" s="60"/>
      <c r="K22" s="60"/>
      <c r="L22" s="60"/>
      <c r="M22" s="61"/>
    </row>
    <row r="23" spans="1:16" x14ac:dyDescent="0.2">
      <c r="A23" s="60"/>
      <c r="B23" s="60"/>
      <c r="C23" s="60"/>
      <c r="D23" s="60"/>
      <c r="E23" s="60"/>
      <c r="F23" s="60"/>
      <c r="G23" s="60"/>
      <c r="H23" s="60"/>
      <c r="I23" s="60"/>
      <c r="J23" s="60"/>
      <c r="K23" s="60"/>
      <c r="L23" s="60"/>
      <c r="M23" s="61"/>
    </row>
    <row r="24" spans="1:16" x14ac:dyDescent="0.2">
      <c r="A24" s="60"/>
      <c r="B24" s="60"/>
      <c r="C24" s="60"/>
      <c r="D24" s="60"/>
      <c r="E24" s="60"/>
      <c r="F24" s="60"/>
      <c r="G24" s="60"/>
      <c r="H24" s="60"/>
      <c r="I24" s="60"/>
      <c r="J24" s="60"/>
      <c r="K24" s="60"/>
      <c r="L24" s="60"/>
      <c r="M24" s="61"/>
    </row>
    <row r="25" spans="1:16" x14ac:dyDescent="0.2">
      <c r="A25" s="60"/>
      <c r="B25" s="60"/>
      <c r="C25" s="60"/>
      <c r="D25" s="60"/>
      <c r="E25" s="60"/>
      <c r="F25" s="60"/>
      <c r="G25" s="60"/>
      <c r="H25" s="60"/>
      <c r="I25" s="60"/>
      <c r="J25" s="60"/>
      <c r="K25" s="60"/>
      <c r="L25" s="60"/>
      <c r="M25" s="60"/>
    </row>
    <row r="26" spans="1:16" x14ac:dyDescent="0.2">
      <c r="A26" s="60"/>
      <c r="B26" s="60"/>
      <c r="C26" s="60"/>
      <c r="D26" s="60"/>
      <c r="E26" s="60"/>
      <c r="F26" s="60"/>
      <c r="G26" s="60"/>
      <c r="H26" s="60"/>
      <c r="I26" s="60"/>
      <c r="J26" s="60"/>
      <c r="K26" s="60"/>
      <c r="L26" s="60"/>
      <c r="M26" s="60"/>
    </row>
    <row r="27" spans="1:16" x14ac:dyDescent="0.2">
      <c r="A27" s="60"/>
      <c r="B27" s="60"/>
      <c r="C27" s="60"/>
      <c r="D27" s="60"/>
      <c r="E27" s="60"/>
      <c r="F27" s="60"/>
      <c r="G27" s="60"/>
      <c r="H27" s="60"/>
      <c r="I27" s="60"/>
      <c r="J27" s="60"/>
      <c r="K27" s="60"/>
      <c r="L27" s="60"/>
      <c r="M27" s="60"/>
    </row>
    <row r="28" spans="1:16" x14ac:dyDescent="0.2">
      <c r="A28" s="60"/>
      <c r="B28" s="60"/>
      <c r="C28" s="60"/>
      <c r="D28" s="60"/>
      <c r="E28" s="60"/>
      <c r="F28" s="60"/>
      <c r="G28" s="60"/>
      <c r="H28" s="60"/>
      <c r="I28" s="60"/>
      <c r="J28" s="60"/>
      <c r="K28" s="60"/>
      <c r="L28" s="60"/>
      <c r="M28" s="60"/>
    </row>
    <row r="29" spans="1:16" x14ac:dyDescent="0.2">
      <c r="A29" s="60"/>
      <c r="B29" s="60"/>
      <c r="C29" s="60"/>
      <c r="D29" s="60"/>
      <c r="E29" s="60"/>
      <c r="F29" s="60"/>
      <c r="G29" s="60"/>
      <c r="H29" s="60"/>
      <c r="I29" s="60"/>
      <c r="J29" s="60"/>
      <c r="K29" s="60"/>
      <c r="L29" s="60"/>
      <c r="M29" s="60"/>
    </row>
    <row r="30" spans="1:16" x14ac:dyDescent="0.2">
      <c r="A30" s="60"/>
      <c r="B30" s="60"/>
      <c r="C30" s="60"/>
      <c r="D30" s="60"/>
      <c r="E30" s="60"/>
      <c r="F30" s="60"/>
      <c r="G30" s="60"/>
      <c r="H30" s="60"/>
      <c r="I30" s="60"/>
      <c r="J30" s="60"/>
      <c r="K30" s="60"/>
      <c r="L30" s="60"/>
      <c r="M30" s="60"/>
    </row>
    <row r="31" spans="1:16" x14ac:dyDescent="0.2">
      <c r="A31" s="60"/>
      <c r="B31" s="60"/>
      <c r="C31" s="60"/>
      <c r="D31" s="60"/>
      <c r="E31" s="60"/>
      <c r="F31" s="60"/>
      <c r="G31" s="60"/>
      <c r="H31" s="60"/>
      <c r="I31" s="60"/>
      <c r="J31" s="60"/>
      <c r="K31" s="60"/>
      <c r="L31" s="60"/>
      <c r="M31" s="60"/>
    </row>
    <row r="32" spans="1:16" x14ac:dyDescent="0.2">
      <c r="A32" s="60"/>
      <c r="B32" s="60"/>
      <c r="C32" s="60"/>
      <c r="D32" s="60"/>
      <c r="E32" s="60"/>
      <c r="F32" s="60"/>
      <c r="G32" s="60"/>
      <c r="H32" s="60"/>
      <c r="I32" s="60"/>
      <c r="J32" s="60"/>
      <c r="K32" s="60"/>
      <c r="L32" s="60"/>
      <c r="M32" s="60"/>
    </row>
    <row r="33" spans="1:13" x14ac:dyDescent="0.2">
      <c r="A33" s="60"/>
      <c r="B33" s="60"/>
      <c r="C33" s="60"/>
      <c r="D33" s="60"/>
      <c r="E33" s="60"/>
      <c r="F33" s="60"/>
      <c r="G33" s="60"/>
      <c r="H33" s="60"/>
      <c r="I33" s="60"/>
      <c r="J33" s="60"/>
      <c r="K33" s="60"/>
      <c r="L33" s="60"/>
      <c r="M33" s="60"/>
    </row>
    <row r="34" spans="1:13" x14ac:dyDescent="0.2">
      <c r="A34" s="60"/>
      <c r="B34" s="60"/>
      <c r="C34" s="60"/>
      <c r="D34" s="60"/>
      <c r="E34" s="60"/>
      <c r="F34" s="60"/>
      <c r="G34" s="60"/>
      <c r="H34" s="60"/>
      <c r="I34" s="60"/>
      <c r="J34" s="60"/>
      <c r="K34" s="60"/>
      <c r="L34" s="60"/>
      <c r="M34" s="60"/>
    </row>
    <row r="35" spans="1:13" x14ac:dyDescent="0.2">
      <c r="A35" s="60"/>
      <c r="B35" s="60"/>
      <c r="C35" s="60"/>
      <c r="D35" s="60"/>
      <c r="E35" s="60"/>
      <c r="F35" s="60"/>
      <c r="G35" s="60"/>
      <c r="H35" s="60"/>
      <c r="I35" s="60"/>
      <c r="J35" s="60"/>
      <c r="K35" s="60"/>
      <c r="L35" s="60"/>
      <c r="M35" s="60"/>
    </row>
    <row r="36" spans="1:13" x14ac:dyDescent="0.2">
      <c r="A36" s="60"/>
      <c r="B36" s="60"/>
      <c r="C36" s="60"/>
      <c r="D36" s="60"/>
      <c r="E36" s="60"/>
      <c r="F36" s="60"/>
      <c r="G36" s="60"/>
      <c r="H36" s="60"/>
      <c r="I36" s="60"/>
      <c r="J36" s="60"/>
      <c r="K36" s="60"/>
      <c r="L36" s="60"/>
      <c r="M36" s="60"/>
    </row>
    <row r="37" spans="1:13" x14ac:dyDescent="0.2">
      <c r="A37" s="60"/>
      <c r="B37" s="60"/>
      <c r="C37" s="60"/>
      <c r="D37" s="60"/>
      <c r="E37" s="60"/>
      <c r="F37" s="60"/>
      <c r="G37" s="60"/>
      <c r="H37" s="60"/>
      <c r="I37" s="60"/>
      <c r="J37" s="60"/>
      <c r="K37" s="60"/>
      <c r="L37" s="60"/>
      <c r="M37" s="60"/>
    </row>
    <row r="38" spans="1:13" x14ac:dyDescent="0.2">
      <c r="A38" s="60"/>
      <c r="B38" s="60"/>
      <c r="C38" s="60"/>
      <c r="D38" s="60"/>
      <c r="E38" s="60"/>
      <c r="F38" s="60"/>
      <c r="G38" s="60"/>
      <c r="H38" s="60"/>
      <c r="I38" s="60"/>
      <c r="J38" s="60"/>
      <c r="K38" s="60"/>
      <c r="L38" s="60"/>
      <c r="M38" s="60"/>
    </row>
    <row r="39" spans="1:13" x14ac:dyDescent="0.2">
      <c r="A39" s="60"/>
      <c r="B39" s="60"/>
      <c r="C39" s="60"/>
      <c r="D39" s="60"/>
      <c r="E39" s="60"/>
      <c r="F39" s="60"/>
      <c r="G39" s="60"/>
      <c r="H39" s="60"/>
      <c r="I39" s="60"/>
      <c r="J39" s="60"/>
      <c r="K39" s="60"/>
      <c r="L39" s="60"/>
      <c r="M39" s="60"/>
    </row>
    <row r="40" spans="1:13" x14ac:dyDescent="0.2">
      <c r="A40" s="60"/>
      <c r="B40" s="60"/>
      <c r="C40" s="60"/>
      <c r="D40" s="60"/>
      <c r="E40" s="60"/>
      <c r="F40" s="60"/>
      <c r="G40" s="60"/>
      <c r="H40" s="60"/>
      <c r="I40" s="60"/>
      <c r="J40" s="60"/>
      <c r="K40" s="60"/>
      <c r="L40" s="60"/>
      <c r="M40" s="60"/>
    </row>
    <row r="41" spans="1:13" x14ac:dyDescent="0.2">
      <c r="A41" s="60"/>
      <c r="B41" s="60"/>
      <c r="C41" s="60"/>
      <c r="D41" s="60"/>
      <c r="E41" s="60"/>
      <c r="F41" s="60"/>
      <c r="G41" s="60"/>
      <c r="H41" s="60"/>
      <c r="I41" s="60"/>
      <c r="J41" s="60"/>
      <c r="K41" s="60"/>
      <c r="L41" s="60"/>
      <c r="M41" s="60"/>
    </row>
    <row r="42" spans="1:13" x14ac:dyDescent="0.2">
      <c r="A42" s="60"/>
      <c r="B42" s="60"/>
      <c r="C42" s="60"/>
      <c r="D42" s="60"/>
      <c r="E42" s="60"/>
      <c r="F42" s="60"/>
      <c r="G42" s="60"/>
      <c r="H42" s="60"/>
      <c r="I42" s="60"/>
      <c r="J42" s="60"/>
      <c r="K42" s="60"/>
      <c r="L42" s="60"/>
      <c r="M42" s="60"/>
    </row>
    <row r="43" spans="1:13" x14ac:dyDescent="0.2">
      <c r="A43" s="60"/>
      <c r="B43" s="60"/>
      <c r="C43" s="60"/>
      <c r="D43" s="60"/>
      <c r="E43" s="60"/>
      <c r="F43" s="60"/>
      <c r="G43" s="60"/>
      <c r="H43" s="60"/>
      <c r="I43" s="60"/>
      <c r="J43" s="60"/>
      <c r="K43" s="60"/>
      <c r="L43" s="60"/>
      <c r="M43" s="60"/>
    </row>
    <row r="44" spans="1:13" x14ac:dyDescent="0.2">
      <c r="A44" s="60"/>
      <c r="B44" s="60"/>
      <c r="C44" s="60"/>
      <c r="D44" s="60"/>
      <c r="E44" s="60"/>
      <c r="F44" s="60"/>
      <c r="G44" s="60"/>
      <c r="H44" s="60"/>
      <c r="I44" s="60"/>
      <c r="J44" s="60"/>
      <c r="K44" s="60"/>
      <c r="L44" s="60"/>
      <c r="M44" s="60"/>
    </row>
    <row r="45" spans="1:13" x14ac:dyDescent="0.2">
      <c r="A45" s="60"/>
      <c r="B45" s="60"/>
      <c r="C45" s="60"/>
      <c r="D45" s="60"/>
      <c r="E45" s="60"/>
      <c r="F45" s="60"/>
      <c r="G45" s="60"/>
      <c r="H45" s="60"/>
      <c r="I45" s="60"/>
      <c r="J45" s="60"/>
      <c r="K45" s="60"/>
      <c r="L45" s="60"/>
      <c r="M45" s="60"/>
    </row>
    <row r="46" spans="1:13" x14ac:dyDescent="0.2">
      <c r="A46" s="60"/>
      <c r="B46" s="60"/>
      <c r="C46" s="60"/>
      <c r="D46" s="60"/>
      <c r="E46" s="60"/>
      <c r="F46" s="60"/>
      <c r="G46" s="60"/>
      <c r="H46" s="60"/>
      <c r="I46" s="60"/>
      <c r="J46" s="60"/>
      <c r="K46" s="60"/>
      <c r="L46" s="60"/>
      <c r="M46" s="60"/>
    </row>
    <row r="47" spans="1:13" x14ac:dyDescent="0.2">
      <c r="A47" s="60"/>
      <c r="B47" s="60"/>
      <c r="C47" s="60"/>
      <c r="D47" s="60"/>
      <c r="E47" s="60"/>
      <c r="F47" s="60"/>
      <c r="G47" s="60"/>
      <c r="H47" s="60"/>
      <c r="I47" s="60"/>
      <c r="J47" s="60"/>
      <c r="K47" s="60"/>
      <c r="L47" s="60"/>
      <c r="M47" s="60"/>
    </row>
    <row r="48" spans="1:13" x14ac:dyDescent="0.2">
      <c r="A48" s="60"/>
      <c r="B48" s="60"/>
      <c r="C48" s="60"/>
      <c r="D48" s="60"/>
      <c r="E48" s="60"/>
      <c r="F48" s="60"/>
      <c r="G48" s="60"/>
      <c r="H48" s="60"/>
      <c r="I48" s="60"/>
      <c r="J48" s="60"/>
      <c r="K48" s="60"/>
      <c r="L48" s="60"/>
      <c r="M48" s="60"/>
    </row>
    <row r="49" spans="1:13" x14ac:dyDescent="0.2">
      <c r="A49" s="60"/>
      <c r="B49" s="60"/>
      <c r="C49" s="60"/>
      <c r="D49" s="60"/>
      <c r="E49" s="60"/>
      <c r="F49" s="60"/>
      <c r="G49" s="60"/>
      <c r="H49" s="60"/>
      <c r="I49" s="60"/>
      <c r="J49" s="60"/>
      <c r="K49" s="60"/>
      <c r="L49" s="60"/>
      <c r="M49" s="60"/>
    </row>
    <row r="50" spans="1:13" x14ac:dyDescent="0.2">
      <c r="A50" s="60"/>
      <c r="B50" s="60"/>
      <c r="C50" s="60"/>
      <c r="D50" s="60"/>
      <c r="E50" s="60"/>
      <c r="F50" s="60"/>
      <c r="G50" s="60"/>
      <c r="H50" s="60"/>
      <c r="I50" s="60"/>
      <c r="J50" s="60"/>
      <c r="K50" s="60"/>
      <c r="L50" s="60"/>
      <c r="M50" s="60"/>
    </row>
    <row r="51" spans="1:13" x14ac:dyDescent="0.2">
      <c r="A51" s="60"/>
      <c r="B51" s="60"/>
      <c r="C51" s="60"/>
      <c r="D51" s="60"/>
      <c r="E51" s="60"/>
      <c r="F51" s="60"/>
      <c r="G51" s="60"/>
      <c r="H51" s="60"/>
      <c r="I51" s="60"/>
      <c r="J51" s="60"/>
      <c r="K51" s="60"/>
      <c r="L51" s="60"/>
      <c r="M51" s="60"/>
    </row>
    <row r="52" spans="1:13" x14ac:dyDescent="0.2">
      <c r="A52" s="60"/>
      <c r="B52" s="60"/>
      <c r="C52" s="60"/>
      <c r="D52" s="60"/>
      <c r="E52" s="60"/>
      <c r="F52" s="60"/>
      <c r="G52" s="60"/>
      <c r="H52" s="60"/>
      <c r="I52" s="60"/>
      <c r="J52" s="60"/>
      <c r="K52" s="60"/>
      <c r="L52" s="60"/>
      <c r="M52" s="60"/>
    </row>
    <row r="53" spans="1:13" x14ac:dyDescent="0.2">
      <c r="A53" s="60"/>
      <c r="B53" s="60"/>
      <c r="C53" s="60"/>
      <c r="D53" s="60"/>
      <c r="E53" s="60"/>
      <c r="F53" s="60"/>
      <c r="G53" s="60"/>
      <c r="H53" s="60"/>
      <c r="I53" s="60"/>
      <c r="J53" s="60"/>
      <c r="K53" s="60"/>
      <c r="L53" s="60"/>
      <c r="M53" s="60"/>
    </row>
    <row r="54" spans="1:13" x14ac:dyDescent="0.2">
      <c r="A54" s="60"/>
      <c r="B54" s="60"/>
      <c r="C54" s="60"/>
      <c r="D54" s="60"/>
      <c r="E54" s="60"/>
      <c r="F54" s="60"/>
      <c r="G54" s="60"/>
      <c r="H54" s="60"/>
      <c r="I54" s="60"/>
      <c r="J54" s="60"/>
      <c r="K54" s="60"/>
      <c r="L54" s="60"/>
      <c r="M54" s="60"/>
    </row>
    <row r="55" spans="1:13" x14ac:dyDescent="0.2">
      <c r="A55" s="60"/>
      <c r="B55" s="60"/>
      <c r="C55" s="60"/>
      <c r="D55" s="60"/>
      <c r="E55" s="60"/>
      <c r="F55" s="60"/>
      <c r="G55" s="60"/>
      <c r="H55" s="60"/>
      <c r="I55" s="60"/>
      <c r="J55" s="60"/>
      <c r="K55" s="60"/>
      <c r="L55" s="60"/>
      <c r="M55" s="60"/>
    </row>
    <row r="56" spans="1:13" x14ac:dyDescent="0.2">
      <c r="A56" s="60"/>
      <c r="B56" s="60"/>
      <c r="C56" s="60"/>
      <c r="D56" s="60"/>
      <c r="E56" s="60"/>
      <c r="F56" s="60"/>
      <c r="G56" s="60"/>
      <c r="H56" s="60"/>
      <c r="I56" s="60"/>
      <c r="J56" s="60"/>
      <c r="K56" s="60"/>
      <c r="L56" s="60"/>
      <c r="M56" s="60"/>
    </row>
    <row r="57" spans="1:13" x14ac:dyDescent="0.2">
      <c r="A57" s="60"/>
      <c r="B57" s="60"/>
      <c r="C57" s="60"/>
      <c r="D57" s="60"/>
      <c r="E57" s="60"/>
      <c r="F57" s="60"/>
      <c r="G57" s="60"/>
      <c r="H57" s="60"/>
      <c r="I57" s="60"/>
      <c r="J57" s="60"/>
      <c r="K57" s="60"/>
      <c r="L57" s="60"/>
      <c r="M57" s="60"/>
    </row>
    <row r="58" spans="1:13" x14ac:dyDescent="0.2">
      <c r="A58" s="60"/>
      <c r="B58" s="60"/>
      <c r="C58" s="60"/>
      <c r="D58" s="60"/>
      <c r="E58" s="60"/>
      <c r="F58" s="60"/>
      <c r="G58" s="60"/>
      <c r="H58" s="60"/>
      <c r="I58" s="60"/>
      <c r="J58" s="60"/>
      <c r="K58" s="60"/>
      <c r="L58" s="60"/>
      <c r="M58" s="60"/>
    </row>
    <row r="59" spans="1:13" x14ac:dyDescent="0.2">
      <c r="A59" s="60"/>
      <c r="B59" s="60"/>
      <c r="C59" s="60"/>
      <c r="D59" s="60"/>
      <c r="E59" s="60"/>
      <c r="F59" s="60"/>
      <c r="G59" s="60"/>
      <c r="H59" s="60"/>
      <c r="I59" s="60"/>
      <c r="J59" s="60"/>
      <c r="K59" s="60"/>
      <c r="L59" s="60"/>
      <c r="M59" s="60"/>
    </row>
    <row r="60" spans="1:13" x14ac:dyDescent="0.2">
      <c r="A60" s="60"/>
      <c r="B60" s="60"/>
      <c r="C60" s="60"/>
      <c r="D60" s="60"/>
      <c r="E60" s="60"/>
      <c r="F60" s="60"/>
      <c r="G60" s="60"/>
      <c r="H60" s="60"/>
      <c r="I60" s="60"/>
      <c r="J60" s="60"/>
      <c r="K60" s="60"/>
      <c r="L60" s="60"/>
      <c r="M60" s="60"/>
    </row>
    <row r="61" spans="1:13" x14ac:dyDescent="0.2">
      <c r="A61" s="60"/>
      <c r="B61" s="60"/>
      <c r="C61" s="60"/>
      <c r="D61" s="60"/>
      <c r="E61" s="60"/>
      <c r="F61" s="60"/>
      <c r="G61" s="60"/>
      <c r="H61" s="60"/>
      <c r="I61" s="60"/>
      <c r="J61" s="60"/>
      <c r="K61" s="60"/>
      <c r="L61" s="60"/>
      <c r="M61" s="60"/>
    </row>
    <row r="62" spans="1:13" x14ac:dyDescent="0.2">
      <c r="A62" s="60"/>
      <c r="B62" s="60"/>
      <c r="C62" s="60"/>
      <c r="D62" s="60"/>
      <c r="E62" s="60"/>
      <c r="F62" s="60"/>
      <c r="G62" s="60"/>
      <c r="H62" s="60"/>
      <c r="I62" s="60"/>
      <c r="J62" s="60"/>
      <c r="K62" s="60"/>
      <c r="L62" s="60"/>
      <c r="M62" s="60"/>
    </row>
    <row r="63" spans="1:13" x14ac:dyDescent="0.2">
      <c r="A63" s="60"/>
      <c r="B63" s="60"/>
      <c r="C63" s="60"/>
      <c r="D63" s="60"/>
      <c r="E63" s="60"/>
      <c r="F63" s="60"/>
      <c r="G63" s="60"/>
      <c r="H63" s="60"/>
      <c r="I63" s="60"/>
      <c r="J63" s="60"/>
      <c r="K63" s="60"/>
      <c r="L63" s="60"/>
      <c r="M63" s="60"/>
    </row>
    <row r="64" spans="1:13" x14ac:dyDescent="0.2">
      <c r="A64" s="60"/>
      <c r="B64" s="60"/>
      <c r="C64" s="60"/>
      <c r="D64" s="60"/>
      <c r="E64" s="60"/>
      <c r="F64" s="60"/>
      <c r="G64" s="60"/>
      <c r="H64" s="60"/>
      <c r="I64" s="60"/>
      <c r="J64" s="60"/>
      <c r="K64" s="60"/>
      <c r="L64" s="60"/>
      <c r="M64" s="60"/>
    </row>
    <row r="65" spans="1:13" x14ac:dyDescent="0.2">
      <c r="A65" s="60"/>
      <c r="B65" s="60"/>
      <c r="C65" s="60"/>
      <c r="D65" s="60"/>
      <c r="E65" s="60"/>
      <c r="F65" s="60"/>
      <c r="G65" s="60"/>
      <c r="H65" s="60"/>
      <c r="I65" s="60"/>
      <c r="J65" s="60"/>
      <c r="K65" s="60"/>
      <c r="L65" s="60"/>
      <c r="M65" s="60"/>
    </row>
    <row r="66" spans="1:13" x14ac:dyDescent="0.2">
      <c r="A66" s="60"/>
      <c r="B66" s="60"/>
      <c r="C66" s="60"/>
      <c r="D66" s="60"/>
      <c r="E66" s="60"/>
      <c r="F66" s="60"/>
      <c r="G66" s="60"/>
      <c r="H66" s="60"/>
      <c r="I66" s="60"/>
      <c r="J66" s="60"/>
      <c r="K66" s="60"/>
      <c r="L66" s="60"/>
      <c r="M66" s="60"/>
    </row>
    <row r="67" spans="1:13" x14ac:dyDescent="0.2">
      <c r="A67" s="60"/>
      <c r="B67" s="60"/>
      <c r="C67" s="60"/>
      <c r="D67" s="60"/>
      <c r="E67" s="60"/>
      <c r="F67" s="60"/>
      <c r="G67" s="60"/>
      <c r="H67" s="60"/>
      <c r="I67" s="60"/>
      <c r="J67" s="60"/>
      <c r="K67" s="60"/>
      <c r="L67" s="60"/>
      <c r="M67" s="60"/>
    </row>
    <row r="68" spans="1:13" x14ac:dyDescent="0.2">
      <c r="A68" s="60"/>
      <c r="B68" s="60"/>
      <c r="C68" s="60"/>
      <c r="D68" s="60"/>
      <c r="E68" s="60"/>
      <c r="F68" s="60"/>
      <c r="G68" s="60"/>
      <c r="H68" s="60"/>
      <c r="I68" s="60"/>
      <c r="J68" s="60"/>
      <c r="K68" s="60"/>
      <c r="L68" s="60"/>
      <c r="M68" s="60"/>
    </row>
    <row r="69" spans="1:13" x14ac:dyDescent="0.2">
      <c r="A69" s="60"/>
      <c r="B69" s="60"/>
      <c r="C69" s="60"/>
      <c r="D69" s="60"/>
      <c r="E69" s="60"/>
      <c r="F69" s="60"/>
      <c r="G69" s="60"/>
      <c r="H69" s="60"/>
      <c r="I69" s="60"/>
      <c r="J69" s="60"/>
      <c r="K69" s="60"/>
      <c r="L69" s="60"/>
      <c r="M69" s="60"/>
    </row>
    <row r="70" spans="1:13" x14ac:dyDescent="0.2">
      <c r="A70" s="60"/>
      <c r="B70" s="60"/>
      <c r="C70" s="60"/>
      <c r="D70" s="60"/>
      <c r="E70" s="60"/>
      <c r="F70" s="60"/>
      <c r="G70" s="60"/>
      <c r="H70" s="60"/>
      <c r="I70" s="60"/>
      <c r="J70" s="60"/>
      <c r="K70" s="60"/>
      <c r="L70" s="60"/>
      <c r="M70" s="60"/>
    </row>
    <row r="71" spans="1:13" x14ac:dyDescent="0.2">
      <c r="A71" s="60"/>
      <c r="B71" s="60"/>
      <c r="C71" s="60"/>
      <c r="D71" s="60"/>
      <c r="E71" s="60"/>
      <c r="F71" s="60"/>
      <c r="G71" s="60"/>
      <c r="H71" s="60"/>
      <c r="I71" s="60"/>
      <c r="J71" s="60"/>
      <c r="K71" s="60"/>
      <c r="L71" s="60"/>
      <c r="M71" s="60"/>
    </row>
    <row r="72" spans="1:13" x14ac:dyDescent="0.2">
      <c r="A72" s="60"/>
      <c r="B72" s="60"/>
      <c r="C72" s="60"/>
      <c r="D72" s="60"/>
      <c r="E72" s="60"/>
      <c r="F72" s="60"/>
      <c r="G72" s="60"/>
      <c r="H72" s="60"/>
      <c r="I72" s="60"/>
      <c r="J72" s="60"/>
      <c r="K72" s="60"/>
      <c r="L72" s="60"/>
      <c r="M72" s="60"/>
    </row>
    <row r="73" spans="1:13" x14ac:dyDescent="0.2">
      <c r="A73" s="60"/>
      <c r="B73" s="60"/>
      <c r="C73" s="60"/>
      <c r="D73" s="60"/>
      <c r="E73" s="60"/>
      <c r="F73" s="60"/>
      <c r="G73" s="60"/>
      <c r="H73" s="60"/>
      <c r="I73" s="60"/>
      <c r="J73" s="60"/>
      <c r="K73" s="60"/>
      <c r="L73" s="60"/>
      <c r="M73" s="60"/>
    </row>
    <row r="74" spans="1:13" x14ac:dyDescent="0.2">
      <c r="A74" s="60"/>
      <c r="B74" s="60"/>
      <c r="C74" s="60"/>
      <c r="D74" s="60"/>
      <c r="E74" s="60"/>
      <c r="F74" s="60"/>
      <c r="G74" s="60"/>
      <c r="H74" s="60"/>
      <c r="I74" s="60"/>
      <c r="J74" s="60"/>
      <c r="K74" s="60"/>
      <c r="L74" s="60"/>
      <c r="M74" s="60"/>
    </row>
    <row r="75" spans="1:13" x14ac:dyDescent="0.2">
      <c r="A75" s="60"/>
      <c r="B75" s="60"/>
      <c r="C75" s="60"/>
      <c r="D75" s="60"/>
      <c r="E75" s="60"/>
      <c r="F75" s="60"/>
      <c r="G75" s="60"/>
      <c r="H75" s="60"/>
      <c r="I75" s="60"/>
      <c r="J75" s="60"/>
      <c r="K75" s="60"/>
      <c r="L75" s="60"/>
      <c r="M75" s="60"/>
    </row>
    <row r="76" spans="1:13" x14ac:dyDescent="0.2">
      <c r="A76" s="60"/>
      <c r="B76" s="60"/>
      <c r="C76" s="60"/>
      <c r="D76" s="60"/>
      <c r="E76" s="60"/>
      <c r="F76" s="60"/>
      <c r="G76" s="60"/>
      <c r="H76" s="60"/>
      <c r="I76" s="60"/>
      <c r="J76" s="60"/>
      <c r="K76" s="60"/>
      <c r="L76" s="60"/>
      <c r="M76" s="60"/>
    </row>
    <row r="77" spans="1:13" x14ac:dyDescent="0.2">
      <c r="A77" s="60"/>
      <c r="B77" s="60"/>
      <c r="C77" s="60"/>
      <c r="D77" s="60"/>
      <c r="E77" s="60"/>
      <c r="F77" s="60"/>
      <c r="G77" s="60"/>
      <c r="H77" s="60"/>
      <c r="I77" s="60"/>
      <c r="J77" s="60"/>
      <c r="K77" s="60"/>
      <c r="L77" s="60"/>
      <c r="M77" s="60"/>
    </row>
    <row r="78" spans="1:13" x14ac:dyDescent="0.2">
      <c r="A78" s="60"/>
      <c r="B78" s="60"/>
      <c r="C78" s="60"/>
      <c r="D78" s="60"/>
      <c r="E78" s="60"/>
      <c r="F78" s="60"/>
      <c r="G78" s="60"/>
      <c r="H78" s="60"/>
      <c r="I78" s="60"/>
      <c r="J78" s="60"/>
      <c r="K78" s="60"/>
      <c r="L78" s="60"/>
      <c r="M78" s="60"/>
    </row>
    <row r="79" spans="1:13" x14ac:dyDescent="0.2">
      <c r="A79" s="60"/>
      <c r="B79" s="60"/>
      <c r="C79" s="60"/>
      <c r="D79" s="60"/>
      <c r="E79" s="60"/>
      <c r="F79" s="60"/>
      <c r="G79" s="60"/>
      <c r="H79" s="60"/>
      <c r="I79" s="60"/>
      <c r="J79" s="60"/>
      <c r="K79" s="60"/>
      <c r="L79" s="60"/>
      <c r="M79" s="60"/>
    </row>
    <row r="80" spans="1:13" x14ac:dyDescent="0.2">
      <c r="A80" s="60"/>
      <c r="B80" s="60"/>
      <c r="C80" s="60"/>
      <c r="D80" s="60"/>
      <c r="E80" s="60"/>
      <c r="F80" s="60"/>
      <c r="G80" s="60"/>
      <c r="H80" s="60"/>
      <c r="I80" s="60"/>
      <c r="J80" s="60"/>
      <c r="K80" s="60"/>
      <c r="L80" s="60"/>
      <c r="M80" s="60"/>
    </row>
    <row r="81" spans="1:13" x14ac:dyDescent="0.2">
      <c r="A81" s="60"/>
      <c r="B81" s="60"/>
      <c r="C81" s="60"/>
      <c r="D81" s="60"/>
      <c r="E81" s="60"/>
      <c r="F81" s="60"/>
      <c r="G81" s="60"/>
      <c r="H81" s="60"/>
      <c r="I81" s="60"/>
      <c r="J81" s="60"/>
      <c r="K81" s="60"/>
      <c r="L81" s="60"/>
      <c r="M81" s="60"/>
    </row>
    <row r="82" spans="1:13" x14ac:dyDescent="0.2">
      <c r="A82" s="60"/>
      <c r="B82" s="60"/>
      <c r="C82" s="60"/>
      <c r="D82" s="60"/>
      <c r="E82" s="60"/>
      <c r="F82" s="60"/>
      <c r="G82" s="60"/>
      <c r="H82" s="60"/>
      <c r="I82" s="60"/>
      <c r="J82" s="60"/>
      <c r="K82" s="60"/>
      <c r="L82" s="60"/>
      <c r="M82" s="60"/>
    </row>
    <row r="83" spans="1:13" x14ac:dyDescent="0.2">
      <c r="A83" s="60"/>
      <c r="B83" s="60"/>
      <c r="C83" s="60"/>
      <c r="D83" s="60"/>
      <c r="E83" s="60"/>
      <c r="F83" s="60"/>
      <c r="G83" s="60"/>
      <c r="H83" s="60"/>
      <c r="I83" s="60"/>
      <c r="J83" s="60"/>
      <c r="K83" s="60"/>
      <c r="L83" s="60"/>
      <c r="M83" s="60"/>
    </row>
    <row r="84" spans="1:13" x14ac:dyDescent="0.2">
      <c r="A84" s="60"/>
      <c r="B84" s="60"/>
      <c r="C84" s="60"/>
      <c r="D84" s="60"/>
      <c r="E84" s="60"/>
      <c r="F84" s="60"/>
      <c r="G84" s="60"/>
      <c r="H84" s="60"/>
      <c r="I84" s="60"/>
      <c r="J84" s="60"/>
      <c r="K84" s="60"/>
      <c r="L84" s="60"/>
      <c r="M84" s="60"/>
    </row>
    <row r="85" spans="1:13" x14ac:dyDescent="0.2">
      <c r="A85" s="60"/>
      <c r="B85" s="60"/>
      <c r="C85" s="60"/>
      <c r="D85" s="60"/>
      <c r="E85" s="60"/>
      <c r="F85" s="60"/>
      <c r="G85" s="60"/>
      <c r="H85" s="60"/>
      <c r="I85" s="60"/>
      <c r="J85" s="60"/>
      <c r="K85" s="60"/>
      <c r="L85" s="60"/>
      <c r="M85" s="60"/>
    </row>
    <row r="86" spans="1:13" x14ac:dyDescent="0.2">
      <c r="A86" s="60"/>
      <c r="B86" s="60"/>
      <c r="C86" s="60"/>
      <c r="D86" s="60"/>
      <c r="E86" s="60"/>
      <c r="F86" s="60"/>
      <c r="G86" s="60"/>
      <c r="H86" s="60"/>
      <c r="I86" s="60"/>
      <c r="J86" s="60"/>
      <c r="K86" s="60"/>
      <c r="L86" s="60"/>
      <c r="M86" s="60"/>
    </row>
    <row r="87" spans="1:13" x14ac:dyDescent="0.2">
      <c r="A87" s="60"/>
      <c r="B87" s="60"/>
      <c r="C87" s="60"/>
      <c r="D87" s="60"/>
      <c r="E87" s="60"/>
      <c r="F87" s="60"/>
      <c r="G87" s="60"/>
      <c r="H87" s="60"/>
      <c r="I87" s="60"/>
      <c r="J87" s="60"/>
      <c r="K87" s="60"/>
      <c r="L87" s="60"/>
      <c r="M87" s="60"/>
    </row>
    <row r="88" spans="1:13" x14ac:dyDescent="0.2">
      <c r="A88" s="60"/>
      <c r="B88" s="60"/>
      <c r="C88" s="60"/>
      <c r="D88" s="60"/>
      <c r="E88" s="60"/>
      <c r="F88" s="60"/>
      <c r="G88" s="60"/>
      <c r="H88" s="60"/>
      <c r="I88" s="60"/>
      <c r="J88" s="60"/>
      <c r="K88" s="60"/>
      <c r="L88" s="60"/>
      <c r="M88" s="60"/>
    </row>
    <row r="89" spans="1:13" x14ac:dyDescent="0.2">
      <c r="A89" s="60"/>
      <c r="B89" s="60"/>
      <c r="C89" s="60"/>
      <c r="D89" s="60"/>
      <c r="E89" s="60"/>
      <c r="F89" s="60"/>
      <c r="G89" s="60"/>
      <c r="H89" s="60"/>
      <c r="I89" s="60"/>
      <c r="J89" s="60"/>
      <c r="K89" s="60"/>
      <c r="L89" s="60"/>
      <c r="M89" s="60"/>
    </row>
    <row r="90" spans="1:13" x14ac:dyDescent="0.2">
      <c r="A90" s="60"/>
      <c r="B90" s="60"/>
      <c r="C90" s="60"/>
      <c r="D90" s="60"/>
      <c r="E90" s="60"/>
      <c r="F90" s="60"/>
      <c r="G90" s="60"/>
      <c r="H90" s="60"/>
      <c r="I90" s="60"/>
      <c r="J90" s="60"/>
      <c r="K90" s="60"/>
      <c r="L90" s="60"/>
      <c r="M90" s="60"/>
    </row>
    <row r="91" spans="1:13" x14ac:dyDescent="0.2">
      <c r="A91" s="60"/>
      <c r="B91" s="60"/>
      <c r="C91" s="60"/>
      <c r="D91" s="60"/>
      <c r="E91" s="60"/>
      <c r="F91" s="60"/>
      <c r="G91" s="60"/>
      <c r="H91" s="60"/>
      <c r="I91" s="60"/>
      <c r="J91" s="60"/>
      <c r="K91" s="60"/>
      <c r="L91" s="60"/>
      <c r="M91" s="60"/>
    </row>
    <row r="92" spans="1:13" x14ac:dyDescent="0.2">
      <c r="A92" s="60"/>
      <c r="B92" s="60"/>
      <c r="C92" s="60"/>
      <c r="D92" s="60"/>
      <c r="E92" s="60"/>
      <c r="F92" s="60"/>
      <c r="G92" s="60"/>
      <c r="H92" s="60"/>
      <c r="I92" s="60"/>
      <c r="J92" s="60"/>
      <c r="K92" s="60"/>
      <c r="L92" s="60"/>
      <c r="M92" s="60"/>
    </row>
    <row r="93" spans="1:13" x14ac:dyDescent="0.2">
      <c r="A93" s="60"/>
      <c r="B93" s="60"/>
      <c r="C93" s="60"/>
      <c r="D93" s="60"/>
      <c r="E93" s="60"/>
      <c r="F93" s="60"/>
      <c r="G93" s="60"/>
      <c r="H93" s="60"/>
      <c r="I93" s="60"/>
      <c r="J93" s="60"/>
      <c r="K93" s="60"/>
      <c r="L93" s="60"/>
      <c r="M93" s="60"/>
    </row>
    <row r="94" spans="1:13" x14ac:dyDescent="0.2">
      <c r="A94" s="60"/>
      <c r="B94" s="60"/>
      <c r="C94" s="60"/>
      <c r="D94" s="60"/>
      <c r="E94" s="60"/>
      <c r="F94" s="60"/>
      <c r="G94" s="60"/>
      <c r="H94" s="60"/>
      <c r="I94" s="60"/>
      <c r="J94" s="60"/>
      <c r="K94" s="60"/>
      <c r="L94" s="60"/>
      <c r="M94" s="60"/>
    </row>
    <row r="95" spans="1:13" x14ac:dyDescent="0.2">
      <c r="A95" s="60"/>
      <c r="B95" s="60"/>
      <c r="C95" s="60"/>
      <c r="D95" s="60"/>
      <c r="E95" s="60"/>
      <c r="F95" s="60"/>
      <c r="G95" s="60"/>
      <c r="H95" s="60"/>
      <c r="I95" s="60"/>
      <c r="J95" s="60"/>
      <c r="K95" s="60"/>
      <c r="L95" s="60"/>
      <c r="M95" s="60"/>
    </row>
    <row r="96" spans="1:13" x14ac:dyDescent="0.2">
      <c r="A96" s="60"/>
      <c r="B96" s="60"/>
      <c r="C96" s="60"/>
      <c r="D96" s="60"/>
      <c r="E96" s="60"/>
      <c r="F96" s="60"/>
      <c r="G96" s="60"/>
      <c r="H96" s="60"/>
      <c r="I96" s="60"/>
      <c r="J96" s="60"/>
      <c r="K96" s="60"/>
      <c r="L96" s="60"/>
      <c r="M96" s="60"/>
    </row>
    <row r="97" spans="1:13" x14ac:dyDescent="0.2">
      <c r="A97" s="60"/>
      <c r="B97" s="60"/>
      <c r="C97" s="60"/>
      <c r="D97" s="60"/>
      <c r="E97" s="60"/>
      <c r="F97" s="60"/>
      <c r="G97" s="60"/>
      <c r="H97" s="60"/>
      <c r="I97" s="60"/>
      <c r="J97" s="60"/>
      <c r="K97" s="60"/>
      <c r="L97" s="60"/>
      <c r="M97" s="60"/>
    </row>
    <row r="98" spans="1:13" x14ac:dyDescent="0.2">
      <c r="A98" s="60"/>
      <c r="B98" s="60"/>
      <c r="C98" s="60"/>
      <c r="D98" s="60"/>
      <c r="E98" s="60"/>
      <c r="F98" s="60"/>
      <c r="G98" s="60"/>
      <c r="H98" s="60"/>
      <c r="I98" s="60"/>
      <c r="J98" s="60"/>
      <c r="K98" s="60"/>
      <c r="L98" s="60"/>
      <c r="M98" s="60"/>
    </row>
    <row r="99" spans="1:13" x14ac:dyDescent="0.2">
      <c r="A99" s="60"/>
      <c r="B99" s="60"/>
      <c r="C99" s="60"/>
      <c r="D99" s="60"/>
      <c r="E99" s="60"/>
      <c r="F99" s="60"/>
      <c r="G99" s="60"/>
      <c r="H99" s="60"/>
      <c r="I99" s="60"/>
      <c r="J99" s="60"/>
      <c r="K99" s="60"/>
      <c r="L99" s="60"/>
      <c r="M99" s="60"/>
    </row>
    <row r="100" spans="1:13" x14ac:dyDescent="0.2">
      <c r="A100" s="60"/>
      <c r="B100" s="60"/>
      <c r="C100" s="60"/>
      <c r="D100" s="60"/>
      <c r="E100" s="60"/>
      <c r="F100" s="60"/>
      <c r="G100" s="60"/>
      <c r="H100" s="60"/>
      <c r="I100" s="60"/>
      <c r="J100" s="60"/>
      <c r="K100" s="60"/>
      <c r="L100" s="60"/>
      <c r="M100" s="60"/>
    </row>
    <row r="101" spans="1:13" x14ac:dyDescent="0.2">
      <c r="A101" s="60"/>
      <c r="B101" s="60"/>
      <c r="C101" s="60"/>
      <c r="D101" s="60"/>
      <c r="E101" s="60"/>
      <c r="F101" s="60"/>
      <c r="G101" s="60"/>
      <c r="H101" s="60"/>
      <c r="I101" s="60"/>
      <c r="J101" s="60"/>
      <c r="K101" s="60"/>
      <c r="L101" s="60"/>
      <c r="M101" s="60"/>
    </row>
    <row r="102" spans="1:13" x14ac:dyDescent="0.2">
      <c r="A102" s="60"/>
      <c r="B102" s="60"/>
      <c r="C102" s="60"/>
      <c r="D102" s="60"/>
      <c r="E102" s="60"/>
      <c r="F102" s="60"/>
      <c r="G102" s="60"/>
      <c r="H102" s="60"/>
      <c r="I102" s="60"/>
      <c r="J102" s="60"/>
      <c r="K102" s="60"/>
      <c r="L102" s="60"/>
      <c r="M102" s="60"/>
    </row>
  </sheetData>
  <pageMargins left="0.5" right="0.5" top="0.75" bottom="0.75" header="0.5" footer="0.5"/>
  <pageSetup scale="85" orientation="landscape" r:id="rId1"/>
  <headerFooter alignWithMargins="0"/>
  <colBreaks count="1" manualBreakCount="1">
    <brk id="14"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AA100"/>
  <sheetViews>
    <sheetView showGridLines="0" topLeftCell="A4" zoomScaleNormal="100" workbookViewId="0">
      <selection activeCell="B11" sqref="B11"/>
    </sheetView>
  </sheetViews>
  <sheetFormatPr defaultColWidth="9.140625" defaultRowHeight="12.75" x14ac:dyDescent="0.2"/>
  <cols>
    <col min="1" max="1" width="13.7109375" style="5" customWidth="1"/>
    <col min="2" max="2" width="10.5703125" style="5" customWidth="1"/>
    <col min="3" max="3" width="4.42578125" style="5" customWidth="1"/>
    <col min="4" max="4" width="11.28515625" style="5" customWidth="1"/>
    <col min="5" max="5" width="5.85546875" style="5" customWidth="1"/>
    <col min="6" max="6" width="11.28515625" style="5" customWidth="1"/>
    <col min="7" max="7" width="8.7109375" style="5" customWidth="1"/>
    <col min="8" max="8" width="4.42578125" style="5" customWidth="1"/>
    <col min="9" max="9" width="8.7109375" style="5" bestFit="1" customWidth="1"/>
    <col min="10" max="10" width="10.85546875" style="5" customWidth="1"/>
    <col min="11" max="11" width="7.140625" style="5" customWidth="1"/>
    <col min="12" max="14" width="9.5703125" style="5" customWidth="1"/>
    <col min="15" max="15" width="15.28515625" style="5" bestFit="1" customWidth="1"/>
    <col min="16" max="16" width="36.7109375" style="5" bestFit="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0</v>
      </c>
      <c r="B1" s="2"/>
      <c r="C1" s="2"/>
      <c r="D1" s="2"/>
      <c r="E1" s="2"/>
      <c r="F1" s="2"/>
      <c r="G1" s="3"/>
      <c r="H1" s="2"/>
      <c r="I1" s="2"/>
      <c r="J1" s="1" t="s">
        <v>58</v>
      </c>
      <c r="K1" s="2"/>
      <c r="L1" s="2"/>
      <c r="M1" s="2"/>
      <c r="N1" s="2"/>
      <c r="O1" s="2"/>
      <c r="P1" s="2"/>
      <c r="Q1" s="2"/>
      <c r="R1" s="2"/>
      <c r="S1" s="2"/>
      <c r="T1" s="2"/>
      <c r="U1" s="2"/>
      <c r="V1" s="2"/>
      <c r="W1" s="4"/>
      <c r="X1" s="4"/>
      <c r="Y1" s="4"/>
      <c r="Z1" s="4"/>
      <c r="AA1" s="4"/>
    </row>
    <row r="2" spans="1:27" x14ac:dyDescent="0.2">
      <c r="A2" s="6" t="s">
        <v>1</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July "&amp;YEAR(A21)</f>
        <v>For the Year Ended July 2014</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81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3</v>
      </c>
      <c r="G5" s="11"/>
      <c r="H5" s="11"/>
      <c r="I5" s="11"/>
      <c r="J5" s="11"/>
      <c r="K5" s="11"/>
      <c r="L5" s="2"/>
      <c r="M5" s="2"/>
      <c r="N5" s="2"/>
      <c r="O5" s="114" t="str">
        <f>"Total "&amp;F5</f>
        <v>Total Commodity</v>
      </c>
      <c r="P5" s="115"/>
      <c r="Q5" s="2"/>
      <c r="R5" s="2"/>
      <c r="S5" s="2"/>
      <c r="T5" s="2"/>
      <c r="U5" s="2"/>
      <c r="V5" s="13"/>
      <c r="W5" s="14"/>
      <c r="X5" s="14"/>
      <c r="Y5" s="14"/>
      <c r="AA5" s="14"/>
    </row>
    <row r="6" spans="1:27" s="16" customFormat="1" ht="11.25" x14ac:dyDescent="0.2">
      <c r="A6" s="15"/>
      <c r="B6" s="12"/>
      <c r="C6" s="12"/>
      <c r="D6" s="12" t="s">
        <v>3</v>
      </c>
      <c r="E6" s="12"/>
      <c r="F6" s="12" t="s">
        <v>4</v>
      </c>
      <c r="G6" s="12"/>
      <c r="H6" s="12"/>
      <c r="I6" s="12"/>
      <c r="J6" s="12"/>
      <c r="K6" s="12"/>
      <c r="O6" s="116" t="str">
        <f>+F6</f>
        <v>Revenue</v>
      </c>
      <c r="P6" s="117"/>
    </row>
    <row r="7" spans="1:27" s="16" customFormat="1" ht="11.25" x14ac:dyDescent="0.2">
      <c r="A7" s="15" t="s">
        <v>6</v>
      </c>
      <c r="B7" s="12" t="s">
        <v>82</v>
      </c>
      <c r="C7" s="12"/>
      <c r="D7" s="12" t="s">
        <v>4</v>
      </c>
      <c r="E7" s="12"/>
      <c r="F7" s="12" t="s">
        <v>83</v>
      </c>
      <c r="G7" s="12"/>
      <c r="H7" s="12"/>
      <c r="I7" s="12"/>
      <c r="J7" s="12" t="s">
        <v>84</v>
      </c>
      <c r="K7" s="12"/>
      <c r="O7" s="116" t="str">
        <f>+F7</f>
        <v>per Yard</v>
      </c>
      <c r="P7" s="117"/>
    </row>
    <row r="8" spans="1:27" s="16" customFormat="1" ht="11.25" x14ac:dyDescent="0.2">
      <c r="A8" s="149">
        <f>+[36]Multi_Family!C6</f>
        <v>41425</v>
      </c>
      <c r="B8" s="18">
        <v>590</v>
      </c>
      <c r="C8" s="12"/>
      <c r="D8" s="150">
        <f>VLOOKUP(A8,[36]Value!$A$6:$O$17,15,)</f>
        <v>324.12876604965663</v>
      </c>
      <c r="E8" s="12"/>
      <c r="F8" s="16">
        <f>ROUND(D8/B10,2)</f>
        <v>0.55000000000000004</v>
      </c>
      <c r="G8" s="12"/>
      <c r="H8" s="12"/>
      <c r="I8" s="12"/>
      <c r="J8" s="14">
        <f>+B10</f>
        <v>590</v>
      </c>
      <c r="K8" s="13">
        <f>YEAR(A8)</f>
        <v>2013</v>
      </c>
      <c r="O8" s="118">
        <f>VLOOKUP(A8,[36]Value!$A$7:$O$18,13,FALSE)</f>
        <v>648.45890875262762</v>
      </c>
      <c r="P8" s="117"/>
    </row>
    <row r="9" spans="1:27" s="16" customFormat="1" ht="11.25" x14ac:dyDescent="0.2">
      <c r="A9" s="17">
        <f>EOMONTH(A8,1)</f>
        <v>41455</v>
      </c>
      <c r="B9" s="18">
        <v>594</v>
      </c>
      <c r="C9" s="22"/>
      <c r="D9" s="150">
        <f>VLOOKUP(A9,[36]Value!$A$6:$O$17,15,)</f>
        <v>269.02832939034744</v>
      </c>
      <c r="E9" s="14"/>
      <c r="F9" s="16">
        <f>ROUND(D9/B9,2)</f>
        <v>0.45</v>
      </c>
      <c r="G9" s="14"/>
      <c r="H9" s="14"/>
      <c r="I9" s="14"/>
      <c r="J9" s="14">
        <f>+B9</f>
        <v>594</v>
      </c>
      <c r="K9" s="13">
        <f>YEAR(A9)</f>
        <v>2013</v>
      </c>
      <c r="O9" s="118">
        <f>VLOOKUP(A9,[36]Value!$A$7:$O$18,13,FALSE)</f>
        <v>538.21658919599975</v>
      </c>
      <c r="P9" s="117"/>
    </row>
    <row r="10" spans="1:27" s="16" customFormat="1" ht="11.25" x14ac:dyDescent="0.2">
      <c r="A10" s="17">
        <f>EOMONTH(A9,1)</f>
        <v>41486</v>
      </c>
      <c r="B10" s="18">
        <v>590</v>
      </c>
      <c r="C10" s="14"/>
      <c r="D10" s="150">
        <f>VLOOKUP(A10,[36]Value!$A$6:$O$17,15,)</f>
        <v>282.84101203945676</v>
      </c>
      <c r="E10" s="14"/>
      <c r="F10" s="16">
        <f>ROUND(D10/B10,2)</f>
        <v>0.48</v>
      </c>
      <c r="G10" s="14"/>
      <c r="H10" s="14"/>
      <c r="I10" s="14"/>
      <c r="J10" s="14">
        <f>+B10</f>
        <v>590</v>
      </c>
      <c r="K10" s="13">
        <f>YEAR(A10)</f>
        <v>2013</v>
      </c>
      <c r="O10" s="118">
        <f>VLOOKUP(A10,[36]Value!$A$7:$O$18,13,FALSE)</f>
        <v>565.82444532899956</v>
      </c>
      <c r="P10" s="117"/>
    </row>
    <row r="11" spans="1:27" s="16" customFormat="1" ht="11.25" x14ac:dyDescent="0.2">
      <c r="A11" s="17" t="s">
        <v>85</v>
      </c>
      <c r="B11" s="271">
        <f>SUM(B9:B10)</f>
        <v>1184</v>
      </c>
      <c r="C11" s="22" t="s">
        <v>9</v>
      </c>
      <c r="D11" s="151">
        <f>SUM(D8:D10)</f>
        <v>875.99810747946071</v>
      </c>
      <c r="E11" s="14"/>
      <c r="G11" s="14"/>
      <c r="H11" s="14"/>
      <c r="I11" s="14"/>
      <c r="J11" s="14"/>
      <c r="K11" s="13"/>
      <c r="O11" s="118"/>
      <c r="P11" s="117"/>
    </row>
    <row r="12" spans="1:27" s="16" customFormat="1" ht="11.25" x14ac:dyDescent="0.2">
      <c r="A12" s="17"/>
      <c r="B12" s="14"/>
      <c r="C12" s="14"/>
      <c r="D12" s="73"/>
      <c r="E12" s="14"/>
      <c r="G12" s="14"/>
      <c r="H12" s="14"/>
      <c r="I12" s="14"/>
      <c r="J12" s="14"/>
      <c r="K12" s="13"/>
      <c r="O12" s="118"/>
      <c r="P12" s="117"/>
    </row>
    <row r="13" spans="1:27" s="16" customFormat="1" ht="11.25" x14ac:dyDescent="0.2">
      <c r="A13" s="17">
        <f>EOMONTH(A10,1)</f>
        <v>41517</v>
      </c>
      <c r="B13" s="18">
        <v>594</v>
      </c>
      <c r="C13" s="14"/>
      <c r="D13" s="150">
        <f>VLOOKUP(A13,[36]Value!$A$6:$O$17,15,)</f>
        <v>235.17774980499973</v>
      </c>
      <c r="E13" s="14"/>
      <c r="F13" s="16">
        <f t="shared" ref="F13:F19" si="0">ROUND(D13/B13,2)</f>
        <v>0.4</v>
      </c>
      <c r="G13" s="24"/>
      <c r="H13" s="14"/>
      <c r="I13" s="14"/>
      <c r="J13" s="14">
        <f t="shared" ref="J13:J19" si="1">+B13</f>
        <v>594</v>
      </c>
      <c r="K13" s="13">
        <f t="shared" ref="K13:K21" si="2">YEAR(A13)</f>
        <v>2013</v>
      </c>
      <c r="O13" s="118">
        <f>VLOOKUP(A13,[36]Value!$A$7:$O$18,13,FALSE)</f>
        <v>470.32589980499972</v>
      </c>
      <c r="P13" s="117"/>
    </row>
    <row r="14" spans="1:27" s="16" customFormat="1" ht="11.25" x14ac:dyDescent="0.2">
      <c r="A14" s="17">
        <f t="shared" ref="A14:A21" si="3">EOMONTH(A13,1)</f>
        <v>41547</v>
      </c>
      <c r="B14" s="18">
        <v>594</v>
      </c>
      <c r="C14" s="14"/>
      <c r="D14" s="150">
        <f>VLOOKUP(A14,[36]Value!$A$6:$O$17,15,)</f>
        <v>288.00691339399947</v>
      </c>
      <c r="E14" s="14"/>
      <c r="F14" s="16">
        <f t="shared" si="0"/>
        <v>0.48</v>
      </c>
      <c r="G14" s="24"/>
      <c r="H14" s="14"/>
      <c r="I14" s="14"/>
      <c r="J14" s="14">
        <f t="shared" si="1"/>
        <v>594</v>
      </c>
      <c r="K14" s="13">
        <f t="shared" si="2"/>
        <v>2013</v>
      </c>
      <c r="O14" s="118">
        <f>VLOOKUP(A14,[36]Value!$A$7:$O$18,13,FALSE)</f>
        <v>575.97941339399949</v>
      </c>
      <c r="P14" s="117"/>
    </row>
    <row r="15" spans="1:27" s="16" customFormat="1" ht="11.25" x14ac:dyDescent="0.2">
      <c r="A15" s="17">
        <f t="shared" si="3"/>
        <v>41578</v>
      </c>
      <c r="B15" s="18">
        <v>490</v>
      </c>
      <c r="C15" s="14"/>
      <c r="D15" s="150">
        <f>VLOOKUP(A15,[36]Value!$A$6:$O$17,15,)</f>
        <v>256.82878657799978</v>
      </c>
      <c r="E15" s="14"/>
      <c r="F15" s="16">
        <f t="shared" si="0"/>
        <v>0.52</v>
      </c>
      <c r="G15" s="24"/>
      <c r="H15" s="14"/>
      <c r="I15" s="14"/>
      <c r="J15" s="14">
        <f t="shared" si="1"/>
        <v>490</v>
      </c>
      <c r="K15" s="13">
        <f t="shared" si="2"/>
        <v>2013</v>
      </c>
      <c r="O15" s="118">
        <f>VLOOKUP(A15,[36]Value!$A$7:$O$18,13,FALSE)</f>
        <v>513.62623657799975</v>
      </c>
      <c r="P15" s="117"/>
    </row>
    <row r="16" spans="1:27" s="16" customFormat="1" ht="11.25" x14ac:dyDescent="0.2">
      <c r="A16" s="17">
        <f t="shared" si="3"/>
        <v>41608</v>
      </c>
      <c r="B16" s="18">
        <v>490</v>
      </c>
      <c r="C16" s="14"/>
      <c r="D16" s="150">
        <f>VLOOKUP(A16,[36]Value!$A$6:$O$17,15,)</f>
        <v>221.34635549999985</v>
      </c>
      <c r="E16" s="14"/>
      <c r="F16" s="16">
        <f t="shared" si="0"/>
        <v>0.45</v>
      </c>
      <c r="G16" s="24"/>
      <c r="H16" s="14"/>
      <c r="I16" s="14"/>
      <c r="J16" s="14">
        <f t="shared" si="1"/>
        <v>490</v>
      </c>
      <c r="K16" s="13">
        <f t="shared" si="2"/>
        <v>2013</v>
      </c>
      <c r="O16" s="118">
        <f>VLOOKUP(A16,[36]Value!$A$7:$O$18,13,FALSE)</f>
        <v>442.70885549999986</v>
      </c>
      <c r="P16" s="117"/>
    </row>
    <row r="17" spans="1:27" s="16" customFormat="1" ht="11.25" x14ac:dyDescent="0.2">
      <c r="A17" s="17">
        <f t="shared" si="3"/>
        <v>41639</v>
      </c>
      <c r="B17" s="18">
        <v>490.42</v>
      </c>
      <c r="C17" s="14"/>
      <c r="D17" s="150">
        <f>VLOOKUP(A17,[36]Value!$A$6:$O$17,15,)</f>
        <v>242.43461515999979</v>
      </c>
      <c r="E17" s="14"/>
      <c r="F17" s="16">
        <f t="shared" si="0"/>
        <v>0.49</v>
      </c>
      <c r="G17" s="24"/>
      <c r="H17" s="14"/>
      <c r="I17" s="14"/>
      <c r="J17" s="14">
        <f t="shared" si="1"/>
        <v>490.42</v>
      </c>
      <c r="K17" s="13">
        <f t="shared" si="2"/>
        <v>2013</v>
      </c>
      <c r="O17" s="118">
        <f>VLOOKUP(A17,[36]Value!$A$7:$O$18,13,FALSE)</f>
        <v>484.8261151599998</v>
      </c>
      <c r="P17" s="117"/>
      <c r="X17" s="14"/>
      <c r="Y17" s="14"/>
    </row>
    <row r="18" spans="1:27" s="16" customFormat="1" ht="11.25" x14ac:dyDescent="0.2">
      <c r="A18" s="17">
        <f t="shared" si="3"/>
        <v>41670</v>
      </c>
      <c r="B18" s="18">
        <v>424</v>
      </c>
      <c r="C18" s="14"/>
      <c r="D18" s="150">
        <f>VLOOKUP(A18,[36]Value!$A$6:$O$17,15,)</f>
        <v>162.86112560899974</v>
      </c>
      <c r="E18" s="14"/>
      <c r="F18" s="16">
        <f t="shared" si="0"/>
        <v>0.38</v>
      </c>
      <c r="G18" s="24"/>
      <c r="H18" s="14"/>
      <c r="I18" s="14"/>
      <c r="J18" s="14">
        <f t="shared" si="1"/>
        <v>424</v>
      </c>
      <c r="K18" s="13">
        <f t="shared" si="2"/>
        <v>2014</v>
      </c>
      <c r="L18" s="14"/>
      <c r="M18" s="14"/>
      <c r="N18" s="14"/>
      <c r="O18" s="118">
        <f>VLOOKUP(A18,[36]Value!$A$7:$O$18,13,FALSE)</f>
        <v>325.71017560899975</v>
      </c>
      <c r="P18" s="117"/>
      <c r="Q18" s="14"/>
      <c r="R18" s="14"/>
      <c r="S18" s="14"/>
      <c r="T18" s="14"/>
      <c r="U18" s="14"/>
      <c r="V18" s="14"/>
      <c r="W18" s="14"/>
      <c r="Y18" s="14"/>
      <c r="AA18" s="14"/>
    </row>
    <row r="19" spans="1:27" s="16" customFormat="1" ht="11.25" x14ac:dyDescent="0.2">
      <c r="A19" s="17">
        <f t="shared" si="3"/>
        <v>41698</v>
      </c>
      <c r="B19" s="18">
        <v>422</v>
      </c>
      <c r="C19" s="14"/>
      <c r="D19" s="150">
        <f>VLOOKUP(A19,[36]Value!$A$6:$O$17,15,)</f>
        <v>117.81562009599983</v>
      </c>
      <c r="E19" s="14"/>
      <c r="F19" s="16">
        <f t="shared" si="0"/>
        <v>0.28000000000000003</v>
      </c>
      <c r="G19" s="24"/>
      <c r="H19" s="14"/>
      <c r="I19" s="14"/>
      <c r="J19" s="14">
        <f t="shared" si="1"/>
        <v>422</v>
      </c>
      <c r="K19" s="13">
        <f t="shared" si="2"/>
        <v>2014</v>
      </c>
      <c r="O19" s="118">
        <f>VLOOKUP(A19,[36]Value!$A$7:$O$18,13,FALSE)</f>
        <v>235.65242009599984</v>
      </c>
      <c r="P19" s="117"/>
    </row>
    <row r="20" spans="1:27" s="16" customFormat="1" ht="11.25" x14ac:dyDescent="0.2">
      <c r="A20" s="17">
        <f t="shared" si="3"/>
        <v>41729</v>
      </c>
      <c r="B20" s="18">
        <v>424</v>
      </c>
      <c r="C20" s="14"/>
      <c r="D20" s="150">
        <f>VLOOKUP(A20,[36]Value!$A$6:$O$17,15,)</f>
        <v>160.79152285799978</v>
      </c>
      <c r="E20" s="14"/>
      <c r="F20" s="16">
        <f>ROUND(D20/B20,2)</f>
        <v>0.38</v>
      </c>
      <c r="G20" s="24"/>
      <c r="H20" s="22"/>
      <c r="I20" s="14"/>
      <c r="J20" s="14">
        <f>+B20</f>
        <v>424</v>
      </c>
      <c r="K20" s="13">
        <f t="shared" si="2"/>
        <v>2014</v>
      </c>
      <c r="O20" s="118">
        <f>VLOOKUP(A20,[36]Value!$A$7:$O$18,13,FALSE)</f>
        <v>321.59722285799978</v>
      </c>
      <c r="P20" s="34"/>
    </row>
    <row r="21" spans="1:27" s="16" customFormat="1" ht="11.25" x14ac:dyDescent="0.2">
      <c r="A21" s="17">
        <f t="shared" si="3"/>
        <v>41759</v>
      </c>
      <c r="B21" s="18">
        <v>424</v>
      </c>
      <c r="C21" s="14"/>
      <c r="D21" s="150">
        <v>153.35</v>
      </c>
      <c r="E21" s="14"/>
      <c r="F21" s="16">
        <f>ROUND(D21/B21,2)</f>
        <v>0.36</v>
      </c>
      <c r="G21" s="24"/>
      <c r="H21" s="22"/>
      <c r="I21" s="14"/>
      <c r="J21" s="14">
        <f>+B21</f>
        <v>424</v>
      </c>
      <c r="K21" s="13">
        <f t="shared" si="2"/>
        <v>2014</v>
      </c>
      <c r="O21" s="118">
        <f>VLOOKUP(A21,[36]Value!$A$7:$O$18,13,FALSE)</f>
        <v>264.71997071999988</v>
      </c>
      <c r="P21" s="117"/>
    </row>
    <row r="22" spans="1:27" s="16" customFormat="1" ht="11.25" x14ac:dyDescent="0.2">
      <c r="A22" s="17"/>
      <c r="B22" s="14"/>
      <c r="C22" s="14"/>
      <c r="D22" s="73"/>
      <c r="E22" s="14"/>
      <c r="G22" s="14"/>
      <c r="H22" s="14"/>
      <c r="I22" s="14"/>
      <c r="J22" s="14"/>
      <c r="K22" s="13"/>
      <c r="O22" s="118"/>
      <c r="P22" s="117"/>
    </row>
    <row r="23" spans="1:27" s="16" customFormat="1" ht="11.25" x14ac:dyDescent="0.2">
      <c r="A23" s="17" t="s">
        <v>86</v>
      </c>
      <c r="B23" s="23">
        <f>SUM(B13:B22)</f>
        <v>4352.42</v>
      </c>
      <c r="C23" s="22" t="s">
        <v>10</v>
      </c>
      <c r="D23" s="151">
        <f>SUM(D11:D22)-D11</f>
        <v>1838.612688999998</v>
      </c>
      <c r="E23" s="14"/>
      <c r="G23" s="14"/>
      <c r="H23" s="14"/>
      <c r="I23" s="14"/>
      <c r="J23" s="14"/>
      <c r="K23" s="13"/>
      <c r="O23" s="119"/>
    </row>
    <row r="24" spans="1:27" s="16" customFormat="1" x14ac:dyDescent="0.2">
      <c r="A24" s="5"/>
      <c r="B24" s="5"/>
      <c r="C24" s="5"/>
      <c r="D24" s="152"/>
      <c r="E24" s="5"/>
      <c r="F24" s="5"/>
      <c r="G24" s="5"/>
      <c r="H24" s="5"/>
      <c r="I24" s="5"/>
      <c r="J24" s="5"/>
      <c r="K24" s="5"/>
      <c r="O24" s="119"/>
      <c r="P24" s="120" t="s">
        <v>59</v>
      </c>
    </row>
    <row r="25" spans="1:27" s="16" customFormat="1" ht="13.5" thickBot="1" x14ac:dyDescent="0.25">
      <c r="A25" s="26"/>
      <c r="B25" s="27">
        <f>+B11+B23</f>
        <v>5536.42</v>
      </c>
      <c r="C25" s="22"/>
      <c r="D25" s="153">
        <f>+D11+D23</f>
        <v>2714.6107964794587</v>
      </c>
      <c r="E25" s="22" t="s">
        <v>11</v>
      </c>
      <c r="F25" s="24">
        <f>ROUND(D25/B25,3)</f>
        <v>0.49</v>
      </c>
      <c r="G25" s="22" t="s">
        <v>12</v>
      </c>
      <c r="H25" s="14"/>
      <c r="I25" s="14"/>
      <c r="J25" s="27">
        <f>SUM(J8:J24)</f>
        <v>6126.42</v>
      </c>
      <c r="K25" s="22" t="s">
        <v>13</v>
      </c>
      <c r="O25" s="119">
        <f>SUM(O8:O24)</f>
        <v>5387.6462529976243</v>
      </c>
      <c r="P25" s="121"/>
    </row>
    <row r="26" spans="1:27" s="16" customFormat="1" ht="12" thickTop="1" x14ac:dyDescent="0.2">
      <c r="B26" s="14"/>
      <c r="C26" s="22"/>
      <c r="D26" s="14"/>
      <c r="E26" s="14"/>
      <c r="F26" s="14"/>
      <c r="G26" s="14"/>
      <c r="H26" s="14"/>
      <c r="I26" s="14"/>
      <c r="J26" s="14"/>
      <c r="K26" s="14"/>
      <c r="O26" s="122">
        <f>ROUND(O25/J25,3)</f>
        <v>0.879</v>
      </c>
      <c r="P26" s="117" t="s">
        <v>60</v>
      </c>
    </row>
    <row r="27" spans="1:27" s="16" customFormat="1" ht="11.25" x14ac:dyDescent="0.2">
      <c r="B27" s="14"/>
      <c r="C27" s="14"/>
      <c r="D27" s="14"/>
      <c r="E27" s="14"/>
      <c r="F27" s="14"/>
      <c r="G27" s="14"/>
      <c r="H27" s="14"/>
      <c r="I27" s="14"/>
      <c r="J27" s="14"/>
      <c r="K27" s="14"/>
      <c r="O27" s="123">
        <f>+J21</f>
        <v>424</v>
      </c>
      <c r="P27" s="117" t="s">
        <v>61</v>
      </c>
    </row>
    <row r="28" spans="1:27" s="16" customFormat="1" ht="12" thickBot="1" x14ac:dyDescent="0.25">
      <c r="B28" s="28" t="s">
        <v>14</v>
      </c>
      <c r="C28" s="29"/>
      <c r="D28" s="29"/>
      <c r="E28" s="29"/>
      <c r="F28" s="14"/>
      <c r="G28" s="14"/>
      <c r="H28" s="14"/>
      <c r="I28" s="14"/>
      <c r="J28" s="14"/>
      <c r="K28" s="14"/>
      <c r="O28" s="117"/>
      <c r="P28" s="117" t="s">
        <v>62</v>
      </c>
    </row>
    <row r="29" spans="1:27" s="16" customFormat="1" ht="12" thickTop="1" x14ac:dyDescent="0.2">
      <c r="A29" s="6"/>
      <c r="B29" s="30"/>
      <c r="C29" s="14"/>
      <c r="D29" s="14"/>
      <c r="E29" s="14"/>
      <c r="F29" s="14"/>
      <c r="G29" s="14"/>
      <c r="H29" s="14"/>
      <c r="I29" s="14"/>
      <c r="J29" s="14"/>
      <c r="K29" s="14"/>
      <c r="X29" s="14"/>
      <c r="Y29" s="14"/>
    </row>
    <row r="30" spans="1:27" s="16" customFormat="1" ht="11.25" x14ac:dyDescent="0.2">
      <c r="A30" s="8"/>
      <c r="B30" s="30"/>
      <c r="C30" s="14"/>
      <c r="D30" s="14"/>
      <c r="E30" s="14"/>
      <c r="F30" s="31" t="s">
        <v>15</v>
      </c>
      <c r="G30" s="14">
        <f>+D25</f>
        <v>2714.6107964794587</v>
      </c>
      <c r="H30" s="22" t="s">
        <v>11</v>
      </c>
      <c r="I30" s="14"/>
      <c r="J30" s="14"/>
      <c r="K30" s="14"/>
    </row>
    <row r="31" spans="1:27" s="13" customFormat="1" ht="11.25" x14ac:dyDescent="0.2">
      <c r="A31" s="32"/>
      <c r="B31" s="30"/>
      <c r="C31" s="14"/>
      <c r="D31" s="14"/>
      <c r="E31" s="14"/>
      <c r="F31" s="14"/>
      <c r="G31" s="14"/>
      <c r="H31" s="22"/>
      <c r="I31" s="14"/>
      <c r="J31" s="14"/>
      <c r="K31" s="14"/>
      <c r="O31" s="16"/>
      <c r="P31" s="16"/>
      <c r="W31" s="14"/>
      <c r="X31" s="16"/>
      <c r="Y31" s="16"/>
      <c r="AA31" s="14"/>
    </row>
    <row r="32" spans="1:27" s="16" customFormat="1" ht="11.25" x14ac:dyDescent="0.2">
      <c r="B32" s="14" t="s">
        <v>87</v>
      </c>
      <c r="C32" s="14"/>
      <c r="D32" s="14"/>
      <c r="E32" s="14"/>
      <c r="F32" s="33">
        <v>0.26800000000000002</v>
      </c>
      <c r="G32" s="14"/>
      <c r="H32" s="14"/>
      <c r="I32" s="14"/>
      <c r="J32" s="14"/>
      <c r="K32" s="14"/>
      <c r="O32" s="16">
        <f>12*O27*O26</f>
        <v>4472.3519999999999</v>
      </c>
      <c r="P32" s="13" t="s">
        <v>63</v>
      </c>
    </row>
    <row r="33" spans="2:27" s="16" customFormat="1" ht="11.25" x14ac:dyDescent="0.2">
      <c r="B33" s="14"/>
      <c r="C33" s="14" t="str">
        <f>"Customers from "&amp;TEXT($A$8,"mm/yy")&amp;" - "&amp;TEXT($A$10,"mm/yy")</f>
        <v>Customers from 05/13 - 07/13</v>
      </c>
      <c r="D33" s="14"/>
      <c r="E33" s="14"/>
      <c r="F33" s="14">
        <f>SUM(B9:B10)</f>
        <v>1184</v>
      </c>
      <c r="G33" s="22" t="s">
        <v>9</v>
      </c>
      <c r="H33" s="14"/>
      <c r="I33" s="14"/>
      <c r="J33" s="14"/>
      <c r="K33" s="14"/>
      <c r="O33" s="16">
        <f>12*O27*G55</f>
        <v>2493.3017428094963</v>
      </c>
      <c r="P33" s="16" t="s">
        <v>64</v>
      </c>
    </row>
    <row r="34" spans="2:27" s="16" customFormat="1" ht="11.25" x14ac:dyDescent="0.2">
      <c r="B34" s="14"/>
      <c r="C34" s="14" t="s">
        <v>17</v>
      </c>
      <c r="D34" s="14"/>
      <c r="E34" s="14"/>
      <c r="F34" s="23">
        <f>ROUND(F32*F33,0)</f>
        <v>317</v>
      </c>
      <c r="G34" s="22"/>
      <c r="H34" s="14"/>
      <c r="I34" s="14"/>
      <c r="J34" s="14"/>
      <c r="K34" s="14"/>
      <c r="O34" s="124">
        <f>+O33/O32</f>
        <v>0.55749228656632943</v>
      </c>
    </row>
    <row r="35" spans="2:27" s="16" customFormat="1" ht="11.25" x14ac:dyDescent="0.2">
      <c r="B35" s="14"/>
      <c r="C35" s="14"/>
      <c r="D35" s="14"/>
      <c r="E35" s="14"/>
      <c r="F35" s="34"/>
      <c r="G35" s="22"/>
      <c r="H35" s="14"/>
      <c r="I35" s="14"/>
      <c r="J35" s="14"/>
      <c r="K35" s="14"/>
    </row>
    <row r="36" spans="2:27" s="16" customFormat="1" ht="11.25" x14ac:dyDescent="0.2">
      <c r="B36" s="14" t="s">
        <v>87</v>
      </c>
      <c r="C36" s="14"/>
      <c r="D36" s="14"/>
      <c r="E36" s="14"/>
      <c r="F36" s="33">
        <v>0.499</v>
      </c>
      <c r="G36" s="14"/>
      <c r="H36" s="14"/>
      <c r="I36" s="14"/>
      <c r="J36" s="14"/>
      <c r="K36" s="14"/>
    </row>
    <row r="37" spans="2:27" s="16" customFormat="1" ht="11.25" x14ac:dyDescent="0.2">
      <c r="B37" s="14"/>
      <c r="C37" s="14" t="str">
        <f>"Customers from "&amp;TEXT($A$13,"mm/yy")&amp;" - "&amp;TEXT($A$21,"mm/yy")</f>
        <v>Customers from 08/13 - 04/14</v>
      </c>
      <c r="D37" s="14"/>
      <c r="E37" s="14"/>
      <c r="F37" s="14">
        <f>+B25-F33</f>
        <v>4352.42</v>
      </c>
      <c r="G37" s="22" t="s">
        <v>10</v>
      </c>
      <c r="H37" s="14"/>
      <c r="I37" s="14"/>
      <c r="J37" s="14"/>
      <c r="K37" s="14"/>
    </row>
    <row r="38" spans="2:27" s="16" customFormat="1" ht="11.25" x14ac:dyDescent="0.2">
      <c r="B38" s="14"/>
      <c r="C38" s="14" t="s">
        <v>17</v>
      </c>
      <c r="D38" s="14"/>
      <c r="E38" s="14"/>
      <c r="F38" s="23">
        <f>ROUND(F36*F37,0)</f>
        <v>2172</v>
      </c>
      <c r="G38" s="22"/>
      <c r="H38" s="14"/>
      <c r="I38" s="14"/>
      <c r="J38" s="14"/>
      <c r="K38" s="14"/>
    </row>
    <row r="39" spans="2:27" s="16" customFormat="1" ht="11.25" x14ac:dyDescent="0.2">
      <c r="B39" s="14"/>
      <c r="C39" s="14"/>
      <c r="D39" s="14"/>
      <c r="E39" s="14"/>
      <c r="F39" s="35"/>
      <c r="G39" s="22"/>
      <c r="H39" s="14"/>
      <c r="I39" s="14"/>
      <c r="J39" s="14"/>
      <c r="K39" s="14"/>
    </row>
    <row r="40" spans="2:27" s="16" customFormat="1" ht="12" thickBot="1" x14ac:dyDescent="0.25">
      <c r="B40" s="14"/>
      <c r="C40" s="14" t="s">
        <v>18</v>
      </c>
      <c r="D40" s="14"/>
      <c r="E40" s="14"/>
      <c r="F40" s="27">
        <f>+F34+F38</f>
        <v>2489</v>
      </c>
      <c r="G40" s="36">
        <f>+F40</f>
        <v>2489</v>
      </c>
      <c r="H40" s="14"/>
      <c r="I40" s="14"/>
      <c r="J40" s="14"/>
      <c r="K40" s="14"/>
    </row>
    <row r="41" spans="2:27" s="16" customFormat="1" ht="12" thickTop="1" x14ac:dyDescent="0.2">
      <c r="B41" s="14"/>
      <c r="C41" s="14"/>
      <c r="D41" s="14"/>
      <c r="E41" s="14"/>
      <c r="F41" s="14"/>
      <c r="G41" s="14"/>
      <c r="H41" s="14"/>
      <c r="I41" s="14"/>
      <c r="J41" s="14"/>
      <c r="K41" s="14"/>
    </row>
    <row r="42" spans="2:27" s="16" customFormat="1" ht="11.25" x14ac:dyDescent="0.2">
      <c r="B42" s="14"/>
      <c r="C42" s="14"/>
      <c r="D42" s="14"/>
      <c r="E42" s="14"/>
      <c r="F42" s="14"/>
      <c r="G42" s="14"/>
      <c r="H42" s="14"/>
      <c r="I42" s="14"/>
      <c r="J42" s="14"/>
      <c r="K42" s="14"/>
    </row>
    <row r="43" spans="2:27" s="16" customFormat="1" ht="12" thickBot="1" x14ac:dyDescent="0.25">
      <c r="B43" s="14"/>
      <c r="C43" s="14"/>
      <c r="D43" s="14"/>
      <c r="E43" s="14"/>
      <c r="F43" s="31" t="str">
        <f>IF(G43&lt;=0,"Excess","Deficient")&amp;" Commodity Credits"</f>
        <v>Deficient Commodity Credits</v>
      </c>
      <c r="G43" s="37">
        <f>+G30-G40</f>
        <v>225.61079647945871</v>
      </c>
      <c r="H43" s="14"/>
      <c r="I43" s="14"/>
      <c r="J43" s="14"/>
      <c r="K43" s="14"/>
    </row>
    <row r="44" spans="2:27" s="16" customFormat="1" ht="12" thickTop="1" x14ac:dyDescent="0.2">
      <c r="B44" s="14"/>
      <c r="C44" s="14"/>
      <c r="D44" s="14"/>
      <c r="E44" s="14"/>
      <c r="F44" s="14"/>
      <c r="G44" s="14"/>
      <c r="H44" s="14"/>
      <c r="I44" s="14"/>
      <c r="J44" s="14"/>
      <c r="K44" s="14"/>
      <c r="Y44" s="14"/>
    </row>
    <row r="45" spans="2:27" s="16" customFormat="1" ht="11.25" x14ac:dyDescent="0.2">
      <c r="B45" s="14"/>
      <c r="C45" s="14"/>
      <c r="D45" s="14"/>
      <c r="E45" s="14"/>
      <c r="F45" s="14"/>
      <c r="G45" s="14"/>
      <c r="H45" s="14"/>
      <c r="I45" s="14"/>
      <c r="J45" s="14"/>
      <c r="K45" s="14"/>
    </row>
    <row r="46" spans="2:27" s="16" customFormat="1" ht="12" thickBot="1" x14ac:dyDescent="0.25">
      <c r="B46" s="28" t="str">
        <f>$K$21+1&amp;" Recycle Adjustment Calculation"</f>
        <v>2015 Recycle Adjustment Calculation</v>
      </c>
      <c r="C46" s="29"/>
      <c r="D46" s="29"/>
      <c r="E46" s="29"/>
      <c r="F46" s="29"/>
      <c r="G46" s="14"/>
      <c r="H46" s="14"/>
      <c r="I46" s="14"/>
      <c r="J46" s="14"/>
      <c r="K46" s="14"/>
    </row>
    <row r="47" spans="2:27" s="16" customFormat="1" ht="12" thickTop="1" x14ac:dyDescent="0.2">
      <c r="B47" s="30"/>
      <c r="C47" s="14"/>
      <c r="D47" s="14"/>
      <c r="E47" s="14"/>
      <c r="F47" s="14"/>
      <c r="G47" s="14"/>
      <c r="H47" s="14"/>
      <c r="I47" s="14"/>
      <c r="J47" s="14"/>
      <c r="K47" s="14"/>
      <c r="L47" s="14"/>
      <c r="M47" s="14"/>
      <c r="N47" s="14"/>
      <c r="O47" s="14"/>
      <c r="P47" s="14"/>
      <c r="Q47" s="14"/>
      <c r="R47" s="14"/>
      <c r="S47" s="14"/>
      <c r="T47" s="14"/>
      <c r="U47" s="14"/>
      <c r="V47" s="14"/>
      <c r="W47" s="14"/>
      <c r="AA47" s="14"/>
    </row>
    <row r="48" spans="2:27" s="16" customFormat="1" ht="11.25" x14ac:dyDescent="0.2">
      <c r="B48" s="14" t="str">
        <f>$K$10&amp;"/"&amp;$K$21&amp;" True-up Computation"</f>
        <v>2013/2014 True-up Computation</v>
      </c>
      <c r="C48" s="14"/>
      <c r="D48" s="14"/>
      <c r="E48" s="14"/>
      <c r="F48" s="14"/>
      <c r="G48" s="14"/>
      <c r="H48" s="14"/>
      <c r="I48" s="14"/>
      <c r="J48" s="14"/>
      <c r="K48" s="14"/>
    </row>
    <row r="49" spans="1:25" s="16" customFormat="1" ht="11.25" x14ac:dyDescent="0.2">
      <c r="B49" s="14"/>
      <c r="C49" s="14"/>
      <c r="D49" s="14"/>
      <c r="E49" s="14"/>
      <c r="F49" s="31" t="s">
        <v>88</v>
      </c>
      <c r="G49" s="14">
        <f>+J25</f>
        <v>6126.42</v>
      </c>
      <c r="H49" s="22" t="s">
        <v>13</v>
      </c>
      <c r="I49" s="14"/>
      <c r="J49" s="14"/>
      <c r="K49" s="14"/>
    </row>
    <row r="50" spans="1:25" s="16" customFormat="1" ht="11.25" x14ac:dyDescent="0.2">
      <c r="B50" s="14"/>
      <c r="C50" s="14"/>
      <c r="D50" s="14"/>
      <c r="E50" s="14"/>
      <c r="F50" s="31" t="str">
        <f>F43</f>
        <v>Deficient Commodity Credits</v>
      </c>
      <c r="G50" s="14">
        <f>+G43</f>
        <v>225.61079647945871</v>
      </c>
      <c r="H50" s="14"/>
      <c r="I50" s="14"/>
      <c r="J50" s="14"/>
      <c r="K50" s="14"/>
    </row>
    <row r="51" spans="1:25" s="16" customFormat="1" ht="11.25" x14ac:dyDescent="0.2">
      <c r="B51" s="14"/>
      <c r="C51" s="14"/>
      <c r="D51" s="14"/>
      <c r="E51" s="14"/>
      <c r="F51" s="31"/>
      <c r="G51" s="14"/>
      <c r="H51" s="14"/>
      <c r="I51" s="14"/>
      <c r="J51" s="14"/>
      <c r="K51" s="14"/>
    </row>
    <row r="52" spans="1:25" s="16" customFormat="1" ht="12" thickBot="1" x14ac:dyDescent="0.25">
      <c r="B52" s="14"/>
      <c r="C52" s="14"/>
      <c r="D52" s="14"/>
      <c r="E52" s="14"/>
      <c r="F52" s="31" t="str">
        <f>$K$10&amp;"/"&amp;$K$21&amp;" Monthly True-up Charge"</f>
        <v>2013/2014 Monthly True-up Charge</v>
      </c>
      <c r="G52" s="38">
        <f>ROUND(G50/G49,3)</f>
        <v>3.6999999999999998E-2</v>
      </c>
      <c r="H52" s="14"/>
      <c r="I52" s="24">
        <f>+G52</f>
        <v>3.6999999999999998E-2</v>
      </c>
      <c r="J52" s="14"/>
      <c r="K52" s="14"/>
    </row>
    <row r="53" spans="1:25" s="16" customFormat="1" ht="12" thickTop="1" x14ac:dyDescent="0.2">
      <c r="B53" s="14"/>
      <c r="C53" s="14"/>
      <c r="D53" s="14"/>
      <c r="E53" s="14"/>
      <c r="F53" s="31"/>
      <c r="G53" s="14"/>
      <c r="H53" s="14"/>
      <c r="I53" s="24"/>
      <c r="J53" s="14"/>
      <c r="K53" s="14"/>
      <c r="O53" s="125" t="s">
        <v>67</v>
      </c>
      <c r="Y53" s="14"/>
    </row>
    <row r="54" spans="1:25" s="16" customFormat="1" ht="11.25" x14ac:dyDescent="0.2">
      <c r="B54" s="14" t="str">
        <f>$K$21&amp;"/"&amp;$K$21+1&amp;" Projected Credit at 50% Retention"</f>
        <v>2014/2015 Projected Credit at 50% Retention</v>
      </c>
      <c r="C54" s="14"/>
      <c r="D54" s="14"/>
      <c r="E54" s="14"/>
      <c r="F54" s="31"/>
      <c r="G54" s="14"/>
      <c r="H54" s="14"/>
      <c r="I54" s="24"/>
      <c r="J54" s="14"/>
      <c r="K54" s="14"/>
      <c r="O54" s="126">
        <f>+'[28]WUTC_AW of Kent_MF'!$O$56</f>
        <v>0.5</v>
      </c>
    </row>
    <row r="55" spans="1:25" s="16" customFormat="1" ht="12" thickBot="1" x14ac:dyDescent="0.25">
      <c r="B55" s="30"/>
      <c r="C55" s="14"/>
      <c r="D55" s="14"/>
      <c r="E55" s="14"/>
      <c r="F55" s="31" t="s">
        <v>54</v>
      </c>
      <c r="G55" s="154">
        <f>+F25/[36]Value!$P$20*$O$54</f>
        <v>0.4900357198918035</v>
      </c>
      <c r="H55" s="14"/>
      <c r="I55" s="24">
        <f>+G55</f>
        <v>0.4900357198918035</v>
      </c>
      <c r="J55" s="22" t="s">
        <v>12</v>
      </c>
      <c r="K55" s="14"/>
    </row>
    <row r="56" spans="1:25" s="14" customFormat="1" ht="12" thickTop="1" x14ac:dyDescent="0.2">
      <c r="B56" s="30"/>
      <c r="I56" s="24"/>
      <c r="X56" s="16"/>
      <c r="Y56" s="16"/>
    </row>
    <row r="57" spans="1:25" s="16" customFormat="1" ht="12" thickBot="1" x14ac:dyDescent="0.25">
      <c r="B57" s="14"/>
      <c r="C57" s="14"/>
      <c r="D57" s="14"/>
      <c r="E57" s="14"/>
      <c r="F57" s="14"/>
      <c r="G57" s="31" t="str">
        <f>$K$21+1&amp;" Adjusted Credit"</f>
        <v>2015 Adjusted Credit</v>
      </c>
      <c r="H57" s="27"/>
      <c r="I57" s="155">
        <f>+I52+I55</f>
        <v>0.52703571989180353</v>
      </c>
      <c r="J57" s="14"/>
    </row>
    <row r="58" spans="1:25" s="16" customFormat="1" ht="12" thickTop="1" x14ac:dyDescent="0.2">
      <c r="I58" s="24"/>
    </row>
    <row r="59" spans="1:25" s="16" customFormat="1" ht="11.25" x14ac:dyDescent="0.2">
      <c r="G59" s="109" t="s">
        <v>89</v>
      </c>
      <c r="I59" s="16">
        <f>+I57*3.5</f>
        <v>1.8446250196213123</v>
      </c>
    </row>
    <row r="60" spans="1:25" s="16" customFormat="1" ht="11.25" x14ac:dyDescent="0.2">
      <c r="A60" s="117"/>
      <c r="B60" s="117"/>
      <c r="C60" s="117"/>
      <c r="D60" s="117"/>
      <c r="E60" s="117"/>
      <c r="F60" s="117"/>
      <c r="G60" s="109"/>
    </row>
    <row r="61" spans="1:25" s="16" customFormat="1" ht="11.25" x14ac:dyDescent="0.2">
      <c r="A61" s="156"/>
      <c r="B61" s="157"/>
      <c r="C61" s="158"/>
      <c r="D61" s="158"/>
      <c r="E61" s="158"/>
      <c r="F61" s="159"/>
      <c r="G61" s="109"/>
    </row>
    <row r="62" spans="1:25" s="16" customFormat="1" ht="11.25" x14ac:dyDescent="0.2">
      <c r="A62" s="120"/>
      <c r="B62" s="159"/>
      <c r="C62" s="159"/>
      <c r="D62" s="159"/>
      <c r="E62" s="159"/>
      <c r="F62" s="159"/>
      <c r="G62" s="160"/>
      <c r="H62" s="160"/>
      <c r="I62" s="160"/>
      <c r="J62" s="160"/>
      <c r="K62" s="160"/>
      <c r="Y62" s="14"/>
    </row>
    <row r="63" spans="1:25" s="16" customFormat="1" ht="11.25" x14ac:dyDescent="0.2">
      <c r="A63" s="120"/>
      <c r="B63" s="159"/>
      <c r="C63" s="159"/>
      <c r="D63" s="159"/>
      <c r="E63" s="159"/>
      <c r="F63" s="159"/>
      <c r="G63" s="109" t="s">
        <v>90</v>
      </c>
      <c r="I63" s="161">
        <f>'[29]2014-2015'!$E$7</f>
        <v>71.351714366611432</v>
      </c>
      <c r="J63" s="16" t="s">
        <v>91</v>
      </c>
    </row>
    <row r="64" spans="1:25" s="16" customFormat="1" ht="11.25" x14ac:dyDescent="0.2">
      <c r="A64" s="162"/>
      <c r="B64" s="34"/>
      <c r="C64" s="34"/>
      <c r="D64" s="117"/>
      <c r="E64" s="34"/>
      <c r="F64" s="117"/>
      <c r="G64" s="14"/>
      <c r="H64" s="14"/>
      <c r="I64" s="14"/>
    </row>
    <row r="65" spans="1:27" s="16" customFormat="1" ht="11.25" x14ac:dyDescent="0.2">
      <c r="A65" s="162"/>
      <c r="B65" s="163"/>
      <c r="C65" s="34"/>
      <c r="D65" s="117"/>
      <c r="E65" s="34"/>
      <c r="F65" s="117"/>
      <c r="G65" s="109" t="s">
        <v>92</v>
      </c>
      <c r="I65" s="110">
        <f>I63/(B19*12)</f>
        <v>1.4089990988667344E-2</v>
      </c>
    </row>
    <row r="66" spans="1:27" s="16" customFormat="1" ht="11.25" x14ac:dyDescent="0.2">
      <c r="A66" s="162"/>
      <c r="B66" s="163"/>
      <c r="C66" s="34"/>
      <c r="D66" s="117"/>
      <c r="E66" s="34"/>
      <c r="F66" s="117"/>
    </row>
    <row r="67" spans="1:27" s="16" customFormat="1" ht="12" thickBot="1" x14ac:dyDescent="0.25">
      <c r="A67" s="162"/>
      <c r="B67" s="163"/>
      <c r="C67" s="34"/>
      <c r="D67" s="117"/>
      <c r="E67" s="34"/>
      <c r="F67" s="117"/>
      <c r="G67" s="31" t="str">
        <f>$K$21+1&amp;" Net Credit/(Debit)"</f>
        <v>2015 Net Credit/(Debit)</v>
      </c>
      <c r="H67" s="27"/>
      <c r="I67" s="128">
        <f>+I57+I65</f>
        <v>0.5411257108804709</v>
      </c>
      <c r="Y67" s="14"/>
    </row>
    <row r="68" spans="1:27" s="16" customFormat="1" ht="12" thickTop="1" x14ac:dyDescent="0.2">
      <c r="A68" s="162"/>
      <c r="B68" s="163"/>
      <c r="C68" s="34"/>
      <c r="D68" s="117"/>
      <c r="E68" s="34"/>
      <c r="F68" s="117"/>
    </row>
    <row r="69" spans="1:27" s="16" customFormat="1" ht="11.25" x14ac:dyDescent="0.2">
      <c r="A69" s="162"/>
      <c r="B69" s="163"/>
      <c r="C69" s="34"/>
      <c r="D69" s="117"/>
      <c r="E69" s="34"/>
      <c r="F69" s="117"/>
      <c r="G69" s="109" t="s">
        <v>93</v>
      </c>
      <c r="I69" s="164">
        <f>+I67*3.5</f>
        <v>1.8939399880816481</v>
      </c>
    </row>
    <row r="70" spans="1:27" s="16" customFormat="1" ht="11.25" x14ac:dyDescent="0.2">
      <c r="A70" s="162"/>
      <c r="B70" s="163"/>
      <c r="C70" s="34"/>
      <c r="D70" s="117"/>
      <c r="E70" s="34"/>
      <c r="F70" s="117"/>
      <c r="G70" s="109" t="s">
        <v>94</v>
      </c>
      <c r="I70" s="16">
        <f>I67*5</f>
        <v>2.7056285544023546</v>
      </c>
    </row>
    <row r="71" spans="1:27" s="16" customFormat="1" ht="11.25" x14ac:dyDescent="0.2">
      <c r="A71" s="162"/>
      <c r="B71" s="163"/>
      <c r="C71" s="34"/>
      <c r="D71" s="117"/>
      <c r="E71" s="34"/>
      <c r="F71" s="117"/>
      <c r="J71" s="14"/>
      <c r="K71" s="13"/>
      <c r="L71" s="14"/>
      <c r="M71" s="14"/>
      <c r="N71" s="14"/>
      <c r="O71" s="14"/>
      <c r="P71" s="14"/>
      <c r="Q71" s="14"/>
      <c r="R71" s="14"/>
      <c r="S71" s="14"/>
      <c r="T71" s="14"/>
      <c r="U71" s="14"/>
      <c r="V71" s="13"/>
      <c r="W71" s="14"/>
      <c r="AA71" s="14"/>
    </row>
    <row r="72" spans="1:27" s="16" customFormat="1" ht="11.25" x14ac:dyDescent="0.2">
      <c r="A72" s="162"/>
      <c r="B72" s="163"/>
      <c r="C72" s="34"/>
      <c r="D72" s="117"/>
      <c r="E72" s="34"/>
      <c r="F72" s="117"/>
    </row>
    <row r="73" spans="1:27" s="16" customFormat="1" ht="11.25" x14ac:dyDescent="0.2">
      <c r="A73" s="162"/>
      <c r="B73" s="163"/>
      <c r="C73" s="34"/>
      <c r="D73" s="117"/>
      <c r="E73" s="34"/>
      <c r="F73" s="117"/>
    </row>
    <row r="74" spans="1:27" s="16" customFormat="1" ht="11.25" x14ac:dyDescent="0.2">
      <c r="A74" s="162"/>
      <c r="B74" s="34"/>
      <c r="C74" s="34"/>
      <c r="D74" s="117"/>
      <c r="E74" s="34"/>
      <c r="F74" s="117"/>
    </row>
    <row r="75" spans="1:27" s="16" customFormat="1" ht="11.25" x14ac:dyDescent="0.2">
      <c r="A75" s="162"/>
      <c r="B75" s="34"/>
      <c r="C75" s="165"/>
      <c r="D75" s="117"/>
      <c r="E75" s="34"/>
      <c r="F75" s="117"/>
    </row>
    <row r="76" spans="1:27" s="16" customFormat="1" x14ac:dyDescent="0.2">
      <c r="A76" s="121"/>
      <c r="B76" s="121"/>
      <c r="C76" s="121"/>
      <c r="D76" s="166"/>
      <c r="E76" s="121"/>
      <c r="F76" s="121"/>
      <c r="Y76" s="14"/>
    </row>
    <row r="77" spans="1:27" s="16" customFormat="1" ht="11.25" x14ac:dyDescent="0.2">
      <c r="A77" s="167"/>
      <c r="B77" s="34"/>
      <c r="C77" s="165"/>
      <c r="D77" s="117"/>
      <c r="E77" s="165"/>
      <c r="F77" s="168"/>
    </row>
    <row r="78" spans="1:27" s="16" customFormat="1" ht="11.25" x14ac:dyDescent="0.2"/>
    <row r="79" spans="1:27" s="16" customFormat="1" ht="11.25" x14ac:dyDescent="0.2"/>
    <row r="80" spans="1:27" s="16" customFormat="1" ht="11.25" x14ac:dyDescent="0.2">
      <c r="B80" s="8"/>
    </row>
    <row r="81" spans="1:27" s="14" customFormat="1" ht="11.25" x14ac:dyDescent="0.2">
      <c r="B81" s="30"/>
      <c r="X81" s="16"/>
      <c r="Y81" s="16"/>
    </row>
    <row r="82" spans="1:27" s="16" customFormat="1" ht="11.25" x14ac:dyDescent="0.2"/>
    <row r="83" spans="1:27" s="16" customFormat="1" ht="11.25" x14ac:dyDescent="0.2"/>
    <row r="84" spans="1:27" s="16" customFormat="1" ht="11.25" x14ac:dyDescent="0.2"/>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c r="A90" s="6"/>
    </row>
    <row r="91" spans="1:27" s="16" customFormat="1" x14ac:dyDescent="0.2">
      <c r="AA91" s="5"/>
    </row>
    <row r="92" spans="1:27" s="16" customFormat="1" x14ac:dyDescent="0.2">
      <c r="AA92" s="5"/>
    </row>
    <row r="93" spans="1:27" s="16" customFormat="1" x14ac:dyDescent="0.2">
      <c r="AA93" s="5"/>
    </row>
    <row r="94" spans="1:27" s="16" customFormat="1" x14ac:dyDescent="0.2">
      <c r="AA94" s="5"/>
    </row>
    <row r="95" spans="1:27" s="16" customFormat="1" x14ac:dyDescent="0.2">
      <c r="G95" s="49"/>
      <c r="I95" s="49"/>
      <c r="J95" s="49"/>
      <c r="L95" s="49"/>
      <c r="M95" s="49"/>
      <c r="N95" s="49"/>
      <c r="O95" s="49"/>
      <c r="P95" s="49"/>
      <c r="Q95" s="49"/>
      <c r="R95" s="49"/>
      <c r="S95" s="49"/>
      <c r="T95" s="49"/>
      <c r="U95" s="49"/>
      <c r="V95" s="49"/>
      <c r="W95" s="49"/>
      <c r="X95" s="49"/>
      <c r="Y95" s="49"/>
      <c r="AA95" s="5"/>
    </row>
    <row r="96" spans="1:27" s="16" customFormat="1" x14ac:dyDescent="0.2">
      <c r="AA96" s="5"/>
    </row>
    <row r="97" spans="7:27" s="16" customFormat="1" ht="13.5" thickBot="1" x14ac:dyDescent="0.25">
      <c r="G97" s="50"/>
      <c r="I97" s="50"/>
      <c r="J97" s="50"/>
      <c r="L97" s="50"/>
      <c r="M97" s="50"/>
      <c r="N97" s="50"/>
      <c r="O97" s="50"/>
      <c r="P97" s="50"/>
      <c r="Q97" s="50"/>
      <c r="R97" s="50"/>
      <c r="S97" s="50"/>
      <c r="T97" s="50"/>
      <c r="U97" s="50"/>
      <c r="V97" s="50"/>
      <c r="W97" s="50"/>
      <c r="X97" s="50"/>
      <c r="Y97" s="50"/>
      <c r="AA97" s="5"/>
    </row>
    <row r="98" spans="7:27" ht="13.5" thickTop="1" x14ac:dyDescent="0.2"/>
    <row r="99" spans="7:27" x14ac:dyDescent="0.2">
      <c r="W99" s="51"/>
      <c r="X99" s="51"/>
      <c r="Y99" s="51"/>
    </row>
    <row r="100" spans="7:27" x14ac:dyDescent="0.2">
      <c r="W100" s="51"/>
      <c r="AA100" s="51"/>
    </row>
  </sheetData>
  <printOptions horizontalCentered="1"/>
  <pageMargins left="0" right="0" top="0.26" bottom="0.33" header="0" footer="0"/>
  <pageSetup scale="58" orientation="portrait" horizontalDpi="4294967292" verticalDpi="300" r:id="rId1"/>
  <headerFooter alignWithMargins="0">
    <oddFooter>&amp;R&amp;"Helv,Regular"&amp;6\\SERVER1\DPUBLIC\EXCEL\WUTC\&amp;F, &amp;A, &amp;D, &amp;T, Page &amp;P of &amp;N</oddFooter>
  </headerFooter>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R120"/>
  <sheetViews>
    <sheetView topLeftCell="C1" zoomScaleNormal="100" workbookViewId="0">
      <selection activeCell="G31" sqref="G31"/>
    </sheetView>
  </sheetViews>
  <sheetFormatPr defaultRowHeight="12.75" x14ac:dyDescent="0.2"/>
  <cols>
    <col min="2" max="2" width="6.5703125" customWidth="1"/>
    <col min="3" max="13" width="10.7109375" customWidth="1"/>
    <col min="14" max="14" width="3.7109375" style="66" customWidth="1"/>
    <col min="15" max="15" width="10.7109375" customWidth="1"/>
    <col min="16" max="16" width="14.5703125" bestFit="1" customWidth="1"/>
  </cols>
  <sheetData>
    <row r="1" spans="1:18" x14ac:dyDescent="0.2">
      <c r="A1" s="52" t="str">
        <f>"Commodity Value Timeframe:  "&amp;TEXT(A7,"mmmm")&amp;" - "&amp;TEXT(A18,"mmmm")</f>
        <v>Commodity Value Timeframe:  May - April</v>
      </c>
      <c r="B1" s="53"/>
    </row>
    <row r="2" spans="1:18" ht="13.5" customHeight="1" x14ac:dyDescent="0.2">
      <c r="A2" s="54" t="str">
        <f>[36]WUTC_KENT_MF!A1</f>
        <v>Kent-Meridian Disposal</v>
      </c>
      <c r="B2" s="54"/>
    </row>
    <row r="3" spans="1:18" ht="13.5" customHeight="1" x14ac:dyDescent="0.2">
      <c r="A3" s="54"/>
      <c r="B3" s="54"/>
    </row>
    <row r="4" spans="1:18" x14ac:dyDescent="0.2">
      <c r="B4" s="64"/>
      <c r="C4" s="56" t="s">
        <v>21</v>
      </c>
      <c r="D4" s="56" t="s">
        <v>22</v>
      </c>
      <c r="E4" s="56" t="s">
        <v>55</v>
      </c>
      <c r="F4" s="56" t="s">
        <v>23</v>
      </c>
      <c r="G4" s="56" t="s">
        <v>24</v>
      </c>
      <c r="H4" s="56" t="s">
        <v>25</v>
      </c>
      <c r="I4" s="56" t="s">
        <v>26</v>
      </c>
      <c r="J4" s="56" t="s">
        <v>27</v>
      </c>
      <c r="K4" s="56" t="s">
        <v>28</v>
      </c>
      <c r="L4" s="56" t="s">
        <v>29</v>
      </c>
      <c r="M4" s="56" t="s">
        <v>30</v>
      </c>
      <c r="N4"/>
      <c r="O4" s="67"/>
    </row>
    <row r="5" spans="1:18" x14ac:dyDescent="0.2">
      <c r="B5" s="64"/>
      <c r="C5" s="64"/>
      <c r="D5" s="64"/>
      <c r="E5" s="64"/>
      <c r="F5" s="64"/>
      <c r="G5" s="64"/>
      <c r="H5" s="64"/>
      <c r="I5" s="64"/>
      <c r="J5" s="64"/>
      <c r="K5" s="64"/>
      <c r="L5" s="64"/>
      <c r="M5" s="64"/>
      <c r="N5"/>
      <c r="O5" s="67" t="str">
        <f>+TEXT(P20,"00.0%")&amp;" of"</f>
        <v>50.0% of</v>
      </c>
    </row>
    <row r="6" spans="1:18" x14ac:dyDescent="0.2">
      <c r="B6" s="64"/>
      <c r="C6" s="64"/>
      <c r="D6" s="64"/>
      <c r="E6" s="64"/>
      <c r="F6" s="64"/>
      <c r="G6" s="64"/>
      <c r="H6" s="64"/>
      <c r="I6" s="64"/>
      <c r="J6" s="64"/>
      <c r="K6" s="64"/>
      <c r="L6" s="64"/>
      <c r="M6" s="64"/>
      <c r="N6"/>
      <c r="O6" s="67" t="s">
        <v>30</v>
      </c>
      <c r="P6" s="56" t="s">
        <v>68</v>
      </c>
      <c r="Q6" s="140" t="s">
        <v>76</v>
      </c>
    </row>
    <row r="7" spans="1:18" x14ac:dyDescent="0.2">
      <c r="A7" s="59">
        <f>+[36]Pricing!A7</f>
        <v>41425</v>
      </c>
      <c r="B7" s="64"/>
      <c r="C7" s="69">
        <f>'[36]Commodity Tonnages'!C7*[36]Pricing!C7</f>
        <v>83.195730449999985</v>
      </c>
      <c r="D7" s="69">
        <f>'[36]Commodity Tonnages'!D7*[36]Pricing!D7</f>
        <v>-27.616548959999999</v>
      </c>
      <c r="E7" s="69">
        <f>'[36]Commodity Tonnages'!E7*[36]Pricing!E7</f>
        <v>0</v>
      </c>
      <c r="F7" s="69">
        <f>'[36]Commodity Tonnages'!F7*[36]Pricing!F7</f>
        <v>13.614210224999997</v>
      </c>
      <c r="G7" s="69">
        <f>'[36]Commodity Tonnages'!G7*[36]Pricing!G7</f>
        <v>150.68387879999997</v>
      </c>
      <c r="H7" s="69">
        <f>'[36]Commodity Tonnages'!H7*[36]Pricing!H7</f>
        <v>232.0243325399999</v>
      </c>
      <c r="I7" s="69">
        <f>'[36]Commodity Tonnages'!I7*[36]Pricing!I7</f>
        <v>43.682006455499995</v>
      </c>
      <c r="J7" s="69">
        <f>'[36]Commodity Tonnages'!J7*[36]Pricing!J7</f>
        <v>43.682006455499995</v>
      </c>
      <c r="K7" s="69">
        <f>'[36]Commodity Tonnages'!K7*[36]Pricing!K7</f>
        <v>182.52066627662779</v>
      </c>
      <c r="L7" s="69">
        <f>'[36]Commodity Tonnages'!L7*[36]Pricing!L7</f>
        <v>-73.327373490000156</v>
      </c>
      <c r="M7" s="169">
        <f>SUM(C7:L7)</f>
        <v>648.45890875262762</v>
      </c>
      <c r="N7"/>
      <c r="O7" s="139">
        <f>M7-Q7</f>
        <v>324.12876604965663</v>
      </c>
      <c r="P7" s="112">
        <f>IFERROR(O7/M7,0)</f>
        <v>0.49984472674320896</v>
      </c>
      <c r="Q7" s="129">
        <v>324.33014270297099</v>
      </c>
      <c r="R7" s="68"/>
    </row>
    <row r="8" spans="1:18" x14ac:dyDescent="0.2">
      <c r="A8" s="59">
        <f>+[36]Pricing!A8</f>
        <v>41455</v>
      </c>
      <c r="B8" s="64"/>
      <c r="C8" s="69">
        <f>'[36]Commodity Tonnages'!C8*[36]Pricing!C8</f>
        <v>67.485067650000005</v>
      </c>
      <c r="D8" s="69">
        <f>'[36]Commodity Tonnages'!D8*[36]Pricing!D8</f>
        <v>-10.588269120000001</v>
      </c>
      <c r="E8" s="69">
        <f>'[36]Commodity Tonnages'!E8*[36]Pricing!E8</f>
        <v>0</v>
      </c>
      <c r="F8" s="69">
        <f>'[36]Commodity Tonnages'!F8*[36]Pricing!F8</f>
        <v>10.503503009999999</v>
      </c>
      <c r="G8" s="69">
        <f>'[36]Commodity Tonnages'!G8*[36]Pricing!G8</f>
        <v>123.5350116</v>
      </c>
      <c r="H8" s="69">
        <f>'[36]Commodity Tonnages'!H8*[36]Pricing!H8</f>
        <v>188.75048992799992</v>
      </c>
      <c r="I8" s="69">
        <f>'[36]Commodity Tonnages'!I8*[36]Pricing!I8</f>
        <v>36.715488809999997</v>
      </c>
      <c r="J8" s="69">
        <f>'[36]Commodity Tonnages'!J8*[36]Pricing!J8</f>
        <v>36.715488809999997</v>
      </c>
      <c r="K8" s="69">
        <f>'[36]Commodity Tonnages'!K8*[36]Pricing!K8</f>
        <v>146.24158348799997</v>
      </c>
      <c r="L8" s="69">
        <f>'[36]Commodity Tonnages'!L8*[36]Pricing!L8</f>
        <v>-61.141774980000129</v>
      </c>
      <c r="M8" s="169">
        <f t="shared" ref="M8:M18" si="0">SUM(C8:L8)</f>
        <v>538.21658919599975</v>
      </c>
      <c r="N8"/>
      <c r="O8" s="139">
        <f t="shared" ref="O8:O18" si="1">M8-Q8</f>
        <v>269.02832939034744</v>
      </c>
      <c r="P8" s="112">
        <f t="shared" ref="P8:P18" si="2">IFERROR(O8/M8,0)</f>
        <v>0.49985142559843448</v>
      </c>
      <c r="Q8" s="129">
        <v>269.18825980565231</v>
      </c>
      <c r="R8" s="68"/>
    </row>
    <row r="9" spans="1:18" x14ac:dyDescent="0.2">
      <c r="A9" s="59">
        <f>+[36]Pricing!A9</f>
        <v>41486</v>
      </c>
      <c r="B9" s="60"/>
      <c r="C9" s="69">
        <f>'[36]Commodity Tonnages'!C9*[36]Pricing!C9</f>
        <v>70.554740024999987</v>
      </c>
      <c r="D9" s="69">
        <f>'[36]Commodity Tonnages'!D9*[36]Pricing!D9</f>
        <v>-11.676579199999999</v>
      </c>
      <c r="E9" s="69">
        <f>'[36]Commodity Tonnages'!E9*[36]Pricing!E9</f>
        <v>0</v>
      </c>
      <c r="F9" s="69">
        <f>'[36]Commodity Tonnages'!F9*[36]Pricing!F9</f>
        <v>10.574930519999999</v>
      </c>
      <c r="G9" s="69">
        <f>'[36]Commodity Tonnages'!G9*[36]Pricing!G9</f>
        <v>126.15077474999998</v>
      </c>
      <c r="H9" s="69">
        <f>'[36]Commodity Tonnages'!H9*[36]Pricing!H9</f>
        <v>191.32696875599984</v>
      </c>
      <c r="I9" s="69">
        <f>'[36]Commodity Tonnages'!I9*[36]Pricing!I9</f>
        <v>41.711909624</v>
      </c>
      <c r="J9" s="69">
        <f>'[36]Commodity Tonnages'!J9*[36]Pricing!J9</f>
        <v>41.711909624</v>
      </c>
      <c r="K9" s="69">
        <f>'[36]Commodity Tonnages'!K9*[36]Pricing!K9</f>
        <v>157.39543511999997</v>
      </c>
      <c r="L9" s="69">
        <f>'[36]Commodity Tonnages'!L9*[36]Pricing!L9</f>
        <v>-61.925643890000138</v>
      </c>
      <c r="M9" s="169">
        <f t="shared" si="0"/>
        <v>565.82444532899956</v>
      </c>
      <c r="N9" s="65"/>
      <c r="O9" s="139">
        <f t="shared" si="1"/>
        <v>282.84101203945676</v>
      </c>
      <c r="P9" s="112">
        <f t="shared" si="2"/>
        <v>0.49987414713939832</v>
      </c>
      <c r="Q9" s="129">
        <v>282.9834332895428</v>
      </c>
      <c r="R9" s="68"/>
    </row>
    <row r="10" spans="1:18" x14ac:dyDescent="0.2">
      <c r="A10" s="59">
        <f>+[36]Pricing!A10</f>
        <v>41517</v>
      </c>
      <c r="B10" s="60"/>
      <c r="C10" s="69">
        <f>'[36]Commodity Tonnages'!C10*[36]Pricing!C10</f>
        <v>62.059591649999994</v>
      </c>
      <c r="D10" s="69">
        <f>'[36]Commodity Tonnages'!D10*[36]Pricing!D10</f>
        <v>-11.195276560000002</v>
      </c>
      <c r="E10" s="69">
        <f>'[36]Commodity Tonnages'!E10*[36]Pricing!E10</f>
        <v>0</v>
      </c>
      <c r="F10" s="69">
        <f>'[36]Commodity Tonnages'!F10*[36]Pricing!F10</f>
        <v>8.7873035249999987</v>
      </c>
      <c r="G10" s="69">
        <f>'[36]Commodity Tonnages'!G10*[36]Pricing!G10</f>
        <v>104.47513439999999</v>
      </c>
      <c r="H10" s="69">
        <f>'[36]Commodity Tonnages'!H10*[36]Pricing!H10</f>
        <v>159.12949823399993</v>
      </c>
      <c r="I10" s="69">
        <f>'[36]Commodity Tonnages'!I10*[36]Pricing!I10</f>
        <v>35.314072254999999</v>
      </c>
      <c r="J10" s="69">
        <f>'[36]Commodity Tonnages'!J10*[36]Pricing!J10</f>
        <v>35.314072254999999</v>
      </c>
      <c r="K10" s="69">
        <f>'[36]Commodity Tonnages'!K10*[36]Pricing!K10</f>
        <v>128.24811291599997</v>
      </c>
      <c r="L10" s="69">
        <f>'[36]Commodity Tonnages'!L10*[36]Pricing!L10</f>
        <v>-51.806608870000112</v>
      </c>
      <c r="M10" s="169">
        <f t="shared" si="0"/>
        <v>470.32589980499972</v>
      </c>
      <c r="N10" s="65"/>
      <c r="O10" s="139">
        <f t="shared" si="1"/>
        <v>235.17774980499973</v>
      </c>
      <c r="P10" s="112">
        <f t="shared" si="2"/>
        <v>0.50003146733468429</v>
      </c>
      <c r="Q10" s="129">
        <v>235.14814999999999</v>
      </c>
      <c r="R10" s="68"/>
    </row>
    <row r="11" spans="1:18" x14ac:dyDescent="0.2">
      <c r="A11" s="59">
        <f>+[36]Pricing!A11</f>
        <v>41547</v>
      </c>
      <c r="B11" s="60"/>
      <c r="C11" s="69">
        <f>'[36]Commodity Tonnages'!C11*[36]Pricing!C11</f>
        <v>78.286979399999993</v>
      </c>
      <c r="D11" s="69">
        <f>'[36]Commodity Tonnages'!D11*[36]Pricing!D11</f>
        <v>4.1692976000000002</v>
      </c>
      <c r="E11" s="69">
        <f>'[36]Commodity Tonnages'!E11*[36]Pricing!E11</f>
        <v>0</v>
      </c>
      <c r="F11" s="69">
        <f>'[36]Commodity Tonnages'!F11*[36]Pricing!F11</f>
        <v>11.47943643</v>
      </c>
      <c r="G11" s="69">
        <f>'[36]Commodity Tonnages'!G11*[36]Pricing!G11</f>
        <v>118.50662459999998</v>
      </c>
      <c r="H11" s="69">
        <f>'[36]Commodity Tonnages'!H11*[36]Pricing!H11</f>
        <v>183.32809878599986</v>
      </c>
      <c r="I11" s="69">
        <f>'[36]Commodity Tonnages'!I11*[36]Pricing!I11</f>
        <v>48.496125411999998</v>
      </c>
      <c r="J11" s="69">
        <f>'[36]Commodity Tonnages'!J11*[36]Pricing!J11</f>
        <v>48.496125411999998</v>
      </c>
      <c r="K11" s="69">
        <f>'[36]Commodity Tonnages'!K11*[36]Pricing!K11</f>
        <v>147.850280424</v>
      </c>
      <c r="L11" s="69">
        <f>'[36]Commodity Tonnages'!L11*[36]Pricing!L11</f>
        <v>-64.633554670000137</v>
      </c>
      <c r="M11" s="169">
        <f t="shared" si="0"/>
        <v>575.97941339399949</v>
      </c>
      <c r="N11" s="65"/>
      <c r="O11" s="139">
        <f t="shared" si="1"/>
        <v>288.00691339399947</v>
      </c>
      <c r="P11" s="112">
        <f t="shared" si="2"/>
        <v>0.50002987380555552</v>
      </c>
      <c r="Q11" s="129">
        <v>287.97250000000003</v>
      </c>
      <c r="R11" s="68"/>
    </row>
    <row r="12" spans="1:18" x14ac:dyDescent="0.2">
      <c r="A12" s="59">
        <f>+[36]Pricing!A12</f>
        <v>41578</v>
      </c>
      <c r="B12" s="60"/>
      <c r="C12" s="69">
        <f>'[36]Commodity Tonnages'!C12*[36]Pricing!C12</f>
        <v>69.071613974999991</v>
      </c>
      <c r="D12" s="69">
        <f>'[36]Commodity Tonnages'!D12*[36]Pricing!D12</f>
        <v>1.4393040479999997</v>
      </c>
      <c r="E12" s="69">
        <f>'[36]Commodity Tonnages'!E12*[36]Pricing!E12</f>
        <v>0</v>
      </c>
      <c r="F12" s="69">
        <f>'[36]Commodity Tonnages'!F12*[36]Pricing!F12</f>
        <v>8.3716132499999993</v>
      </c>
      <c r="G12" s="69">
        <f>'[36]Commodity Tonnages'!G12*[36]Pricing!G12</f>
        <v>109.32286364999999</v>
      </c>
      <c r="H12" s="69">
        <f>'[36]Commodity Tonnages'!H12*[36]Pricing!H12</f>
        <v>160.02483915599987</v>
      </c>
      <c r="I12" s="69">
        <f>'[36]Commodity Tonnages'!I12*[36]Pricing!I12</f>
        <v>42.31204818749999</v>
      </c>
      <c r="J12" s="69">
        <f>'[36]Commodity Tonnages'!J12*[36]Pricing!J12</f>
        <v>42.31204818749999</v>
      </c>
      <c r="K12" s="69">
        <f>'[36]Commodity Tonnages'!K12*[36]Pricing!K12</f>
        <v>139.134509514</v>
      </c>
      <c r="L12" s="69">
        <f>'[36]Commodity Tonnages'!L12*[36]Pricing!L12</f>
        <v>-58.362603390000125</v>
      </c>
      <c r="M12" s="169">
        <f t="shared" si="0"/>
        <v>513.62623657799975</v>
      </c>
      <c r="N12" s="65"/>
      <c r="O12" s="139">
        <f t="shared" si="1"/>
        <v>256.82878657799978</v>
      </c>
      <c r="P12" s="112">
        <f t="shared" si="2"/>
        <v>0.50003050523490444</v>
      </c>
      <c r="Q12" s="129">
        <v>256.79744999999997</v>
      </c>
      <c r="R12" s="68"/>
    </row>
    <row r="13" spans="1:18" x14ac:dyDescent="0.2">
      <c r="A13" s="59">
        <f>+[36]Pricing!A13</f>
        <v>41608</v>
      </c>
      <c r="B13" s="60"/>
      <c r="C13" s="69">
        <f>'[36]Commodity Tonnages'!C13*[36]Pricing!C13</f>
        <v>69.3</v>
      </c>
      <c r="D13" s="69">
        <f>'[36]Commodity Tonnages'!D13*[36]Pricing!D13</f>
        <v>-3.9170039999999999</v>
      </c>
      <c r="E13" s="69">
        <f>'[36]Commodity Tonnages'!E13*[36]Pricing!E13</f>
        <v>0</v>
      </c>
      <c r="F13" s="69">
        <f>'[36]Commodity Tonnages'!F13*[36]Pricing!F13</f>
        <v>6.5410537499999997</v>
      </c>
      <c r="G13" s="69">
        <f>'[36]Commodity Tonnages'!G13*[36]Pricing!G13</f>
        <v>93.24315</v>
      </c>
      <c r="H13" s="69">
        <f>'[36]Commodity Tonnages'!H13*[36]Pricing!H13</f>
        <v>136.05140849999995</v>
      </c>
      <c r="I13" s="69">
        <f>'[36]Commodity Tonnages'!I13*[36]Pricing!I13</f>
        <v>35.253852375000001</v>
      </c>
      <c r="J13" s="69">
        <f>'[36]Commodity Tonnages'!J13*[36]Pricing!J13</f>
        <v>35.253852375000001</v>
      </c>
      <c r="K13" s="69">
        <f>'[36]Commodity Tonnages'!K13*[36]Pricing!K13</f>
        <v>124.42814999999999</v>
      </c>
      <c r="L13" s="69">
        <f>'[36]Commodity Tonnages'!L13*[36]Pricing!L13</f>
        <v>-53.445607500000115</v>
      </c>
      <c r="M13" s="169">
        <f t="shared" si="0"/>
        <v>442.70885549999986</v>
      </c>
      <c r="N13" s="65"/>
      <c r="O13" s="139">
        <f t="shared" si="1"/>
        <v>221.34635549999985</v>
      </c>
      <c r="P13" s="112">
        <f t="shared" si="2"/>
        <v>0.4999817662332709</v>
      </c>
      <c r="Q13" s="129">
        <v>221.36250000000001</v>
      </c>
      <c r="R13" s="68"/>
    </row>
    <row r="14" spans="1:18" x14ac:dyDescent="0.2">
      <c r="A14" s="59">
        <f>+[36]Pricing!A14</f>
        <v>41639</v>
      </c>
      <c r="B14" s="60"/>
      <c r="C14" s="69">
        <f>'[36]Commodity Tonnages'!C14*[36]Pricing!C14</f>
        <v>79.432500000000005</v>
      </c>
      <c r="D14" s="69">
        <f>'[36]Commodity Tonnages'!D14*[36]Pricing!D14</f>
        <v>-7.5009698400000007</v>
      </c>
      <c r="E14" s="69">
        <f>'[36]Commodity Tonnages'!E14*[36]Pricing!E14</f>
        <v>0</v>
      </c>
      <c r="F14" s="69">
        <f>'[36]Commodity Tonnages'!F14*[36]Pricing!F14</f>
        <v>7.8268112999999992</v>
      </c>
      <c r="G14" s="69">
        <f>'[36]Commodity Tonnages'!G14*[36]Pricing!G14</f>
        <v>105.48542549999999</v>
      </c>
      <c r="H14" s="69">
        <f>'[36]Commodity Tonnages'!H14*[36]Pricing!H14</f>
        <v>153.84942635999994</v>
      </c>
      <c r="I14" s="69">
        <f>'[36]Commodity Tonnages'!I14*[36]Pricing!I14</f>
        <v>34.280543850000001</v>
      </c>
      <c r="J14" s="69">
        <f>'[36]Commodity Tonnages'!J14*[36]Pricing!J14</f>
        <v>34.280543850000001</v>
      </c>
      <c r="K14" s="69">
        <f>'[36]Commodity Tonnages'!K14*[36]Pricing!K14</f>
        <v>140.59395504</v>
      </c>
      <c r="L14" s="69">
        <f>'[36]Commodity Tonnages'!L14*[36]Pricing!L14</f>
        <v>-63.422120900000145</v>
      </c>
      <c r="M14" s="169">
        <f t="shared" si="0"/>
        <v>484.8261151599998</v>
      </c>
      <c r="N14" s="65"/>
      <c r="O14" s="139">
        <f t="shared" si="1"/>
        <v>242.43461515999979</v>
      </c>
      <c r="P14" s="112">
        <f t="shared" si="2"/>
        <v>0.50004446456023266</v>
      </c>
      <c r="Q14" s="129">
        <v>242.39150000000001</v>
      </c>
      <c r="R14" s="68"/>
    </row>
    <row r="15" spans="1:18" x14ac:dyDescent="0.2">
      <c r="A15" s="59">
        <f>+[36]Pricing!A15</f>
        <v>41670</v>
      </c>
      <c r="B15" s="60"/>
      <c r="C15" s="69">
        <f>'[36]Commodity Tonnages'!C15*[36]Pricing!C15</f>
        <v>52.839149999999997</v>
      </c>
      <c r="D15" s="69">
        <f>'[36]Commodity Tonnages'!D15*[36]Pricing!D15</f>
        <v>-4.4305337439999999</v>
      </c>
      <c r="E15" s="69">
        <f>'[36]Commodity Tonnages'!E15*[36]Pricing!E15</f>
        <v>0</v>
      </c>
      <c r="F15" s="69">
        <f>'[36]Commodity Tonnages'!F15*[36]Pricing!F15</f>
        <v>5.5731926249999999</v>
      </c>
      <c r="G15" s="69">
        <f>'[36]Commodity Tonnages'!G15*[36]Pricing!G15</f>
        <v>73.412307150000004</v>
      </c>
      <c r="H15" s="69">
        <f>'[36]Commodity Tonnages'!H15*[36]Pricing!H15</f>
        <v>109.16766369599988</v>
      </c>
      <c r="I15" s="69">
        <f>'[36]Commodity Tonnages'!I15*[36]Pricing!I15</f>
        <v>18.661490210999997</v>
      </c>
      <c r="J15" s="69">
        <f>'[36]Commodity Tonnages'!J15*[36]Pricing!J15</f>
        <v>18.661490210999997</v>
      </c>
      <c r="K15" s="69">
        <f>'[36]Commodity Tonnages'!K15*[36]Pricing!K15</f>
        <v>97.218551430000005</v>
      </c>
      <c r="L15" s="69">
        <f>'[36]Commodity Tonnages'!L15*[36]Pricing!L15</f>
        <v>-45.393135970000102</v>
      </c>
      <c r="M15" s="169">
        <f t="shared" si="0"/>
        <v>325.71017560899975</v>
      </c>
      <c r="N15" s="65"/>
      <c r="O15" s="139">
        <f t="shared" si="1"/>
        <v>162.86112560899974</v>
      </c>
      <c r="P15" s="112">
        <f t="shared" si="2"/>
        <v>0.50001853735299662</v>
      </c>
      <c r="Q15" s="129">
        <v>162.84905000000001</v>
      </c>
      <c r="R15" s="68"/>
    </row>
    <row r="16" spans="1:18" x14ac:dyDescent="0.2">
      <c r="A16" s="59">
        <f>+[36]Pricing!A16</f>
        <v>41698</v>
      </c>
      <c r="B16" s="60"/>
      <c r="C16" s="69">
        <f>'[36]Commodity Tonnages'!C16*[36]Pricing!C16</f>
        <v>42.063705599999992</v>
      </c>
      <c r="D16" s="69">
        <f>'[36]Commodity Tonnages'!D16*[36]Pricing!D16</f>
        <v>-8.2501386239999999</v>
      </c>
      <c r="E16" s="69">
        <f>'[36]Commodity Tonnages'!E16*[36]Pricing!E16</f>
        <v>0</v>
      </c>
      <c r="F16" s="69">
        <f>'[36]Commodity Tonnages'!F16*[36]Pricing!F16</f>
        <v>3.3027455999999997</v>
      </c>
      <c r="G16" s="69">
        <f>'[36]Commodity Tonnages'!G16*[36]Pricing!G16</f>
        <v>58.426367999999989</v>
      </c>
      <c r="H16" s="69">
        <f>'[36]Commodity Tonnages'!H16*[36]Pricing!H16</f>
        <v>85.623308287999933</v>
      </c>
      <c r="I16" s="69">
        <f>'[36]Commodity Tonnages'!I16*[36]Pricing!I16</f>
        <v>11.981417728</v>
      </c>
      <c r="J16" s="69">
        <f>'[36]Commodity Tonnages'!J16*[36]Pricing!J16</f>
        <v>11.981417728</v>
      </c>
      <c r="K16" s="69">
        <f>'[36]Commodity Tonnages'!K16*[36]Pricing!K16</f>
        <v>67.009130495999997</v>
      </c>
      <c r="L16" s="69">
        <f>'[36]Commodity Tonnages'!L16*[36]Pricing!L16</f>
        <v>-36.485534720000082</v>
      </c>
      <c r="M16" s="169">
        <f t="shared" si="0"/>
        <v>235.65242009599984</v>
      </c>
      <c r="N16" s="65"/>
      <c r="O16" s="139">
        <f t="shared" si="1"/>
        <v>117.81562009599983</v>
      </c>
      <c r="P16" s="112">
        <f t="shared" si="2"/>
        <v>0.4999550611362456</v>
      </c>
      <c r="Q16" s="129">
        <v>117.83680000000001</v>
      </c>
      <c r="R16" s="68"/>
    </row>
    <row r="17" spans="1:18" x14ac:dyDescent="0.2">
      <c r="A17" s="59">
        <f>+[36]Pricing!A17</f>
        <v>41729</v>
      </c>
      <c r="B17" s="60"/>
      <c r="C17" s="69">
        <f>'[36]Commodity Tonnages'!C17*[36]Pricing!C17</f>
        <v>52.007640299999998</v>
      </c>
      <c r="D17" s="69">
        <f>'[36]Commodity Tonnages'!D17*[36]Pricing!D17</f>
        <v>-6.1158726720000001</v>
      </c>
      <c r="E17" s="69">
        <f>'[36]Commodity Tonnages'!E17*[36]Pricing!E17</f>
        <v>0</v>
      </c>
      <c r="F17" s="69">
        <f>'[36]Commodity Tonnages'!F17*[36]Pricing!F17</f>
        <v>4.3684571700000001</v>
      </c>
      <c r="G17" s="69">
        <f>'[36]Commodity Tonnages'!G17*[36]Pricing!G17</f>
        <v>77.818103999999991</v>
      </c>
      <c r="H17" s="69">
        <f>'[36]Commodity Tonnages'!H17*[36]Pricing!H17</f>
        <v>120.16855115999995</v>
      </c>
      <c r="I17" s="69">
        <f>'[36]Commodity Tonnages'!I17*[36]Pricing!I17</f>
        <v>17.832294522000002</v>
      </c>
      <c r="J17" s="69">
        <f>'[36]Commodity Tonnages'!J17*[36]Pricing!J17</f>
        <v>17.832294522000002</v>
      </c>
      <c r="K17" s="69">
        <f>'[36]Commodity Tonnages'!K17*[36]Pricing!K17</f>
        <v>85.145453315999987</v>
      </c>
      <c r="L17" s="69">
        <f>'[36]Commodity Tonnages'!L17*[36]Pricing!L17</f>
        <v>-47.45969946000011</v>
      </c>
      <c r="M17" s="169">
        <f t="shared" si="0"/>
        <v>321.59722285799978</v>
      </c>
      <c r="N17" s="65"/>
      <c r="O17" s="139">
        <f t="shared" si="1"/>
        <v>160.79152285799978</v>
      </c>
      <c r="P17" s="112">
        <f t="shared" si="2"/>
        <v>0.49997795823316782</v>
      </c>
      <c r="Q17" s="129">
        <v>160.8057</v>
      </c>
      <c r="R17" s="68"/>
    </row>
    <row r="18" spans="1:18" x14ac:dyDescent="0.2">
      <c r="A18" s="59">
        <f>+[36]Pricing!A18</f>
        <v>41759</v>
      </c>
      <c r="B18" s="60"/>
      <c r="C18" s="69">
        <f>'[36]Commodity Tonnages'!C18*[36]Pricing!C18</f>
        <v>39.298486500000003</v>
      </c>
      <c r="D18" s="69">
        <f>'[36]Commodity Tonnages'!D18*[36]Pricing!D18</f>
        <v>-13.299249600000001</v>
      </c>
      <c r="E18" s="69">
        <f>'[36]Commodity Tonnages'!E18*[36]Pricing!E18</f>
        <v>0</v>
      </c>
      <c r="F18" s="69">
        <f>'[36]Commodity Tonnages'!F18*[36]Pricing!F18</f>
        <v>3.4989570000000003</v>
      </c>
      <c r="G18" s="69">
        <f>'[36]Commodity Tonnages'!G18*[36]Pricing!G18</f>
        <v>64.533105000000006</v>
      </c>
      <c r="H18" s="69">
        <f>'[36]Commodity Tonnages'!H18*[36]Pricing!H18</f>
        <v>97.433960399999933</v>
      </c>
      <c r="I18" s="69">
        <f>'[36]Commodity Tonnages'!I18*[36]Pricing!I18</f>
        <v>17.354923110000001</v>
      </c>
      <c r="J18" s="69">
        <f>'[36]Commodity Tonnages'!J18*[36]Pricing!J18</f>
        <v>17.354923110000001</v>
      </c>
      <c r="K18" s="69">
        <f>'[36]Commodity Tonnages'!K18*[36]Pricing!K18</f>
        <v>77.025702599999988</v>
      </c>
      <c r="L18" s="69">
        <f>'[36]Commodity Tonnages'!L18*[36]Pricing!L18</f>
        <v>-38.480837400000091</v>
      </c>
      <c r="M18" s="169">
        <f t="shared" si="0"/>
        <v>264.71997071999988</v>
      </c>
      <c r="N18" s="65"/>
      <c r="O18" s="139">
        <f t="shared" si="1"/>
        <v>132.36597071999986</v>
      </c>
      <c r="P18" s="112">
        <f t="shared" si="2"/>
        <v>0.50002261015662564</v>
      </c>
      <c r="Q18" s="129">
        <v>132.35400000000001</v>
      </c>
      <c r="R18" s="68"/>
    </row>
    <row r="19" spans="1:18" ht="6.75" customHeight="1" x14ac:dyDescent="0.2">
      <c r="A19" s="60"/>
      <c r="B19" s="60"/>
      <c r="C19" s="69"/>
      <c r="D19" s="69"/>
      <c r="E19" s="69"/>
      <c r="F19" s="69"/>
      <c r="G19" s="69"/>
      <c r="H19" s="69"/>
      <c r="I19" s="69"/>
      <c r="J19" s="69"/>
      <c r="K19" s="69"/>
      <c r="L19" s="69"/>
      <c r="M19" s="169"/>
      <c r="N19"/>
      <c r="O19" s="65"/>
    </row>
    <row r="20" spans="1:18" x14ac:dyDescent="0.2">
      <c r="A20" s="63" t="s">
        <v>33</v>
      </c>
      <c r="B20" s="60"/>
      <c r="C20" s="76">
        <f t="shared" ref="C20:L20" si="3">SUM(C7:C19)</f>
        <v>765.59520555000006</v>
      </c>
      <c r="D20" s="76">
        <f t="shared" si="3"/>
        <v>-98.981840672000004</v>
      </c>
      <c r="E20" s="76">
        <f t="shared" si="3"/>
        <v>0</v>
      </c>
      <c r="F20" s="76">
        <f t="shared" si="3"/>
        <v>94.442214405000001</v>
      </c>
      <c r="G20" s="76">
        <f t="shared" si="3"/>
        <v>1205.5927474499999</v>
      </c>
      <c r="H20" s="76">
        <f t="shared" si="3"/>
        <v>1816.8785458039988</v>
      </c>
      <c r="I20" s="76">
        <f t="shared" si="3"/>
        <v>383.59617254</v>
      </c>
      <c r="J20" s="76">
        <f t="shared" si="3"/>
        <v>383.59617254</v>
      </c>
      <c r="K20" s="76">
        <f t="shared" si="3"/>
        <v>1492.8115306206275</v>
      </c>
      <c r="L20" s="76">
        <f t="shared" si="3"/>
        <v>-655.88449524000134</v>
      </c>
      <c r="M20" s="170">
        <f>SUM(C20:L20)</f>
        <v>5387.6462529976252</v>
      </c>
      <c r="N20" s="61"/>
      <c r="O20" s="75">
        <f>SUM(O7:O19)</f>
        <v>2693.6267671994588</v>
      </c>
      <c r="P20" s="113">
        <f>+O20/M20</f>
        <v>0.49996355378765922</v>
      </c>
    </row>
    <row r="21" spans="1:18" x14ac:dyDescent="0.2">
      <c r="A21" s="60"/>
      <c r="B21" s="60"/>
      <c r="C21" s="65"/>
      <c r="D21" s="65"/>
      <c r="E21" s="65"/>
      <c r="F21" s="65"/>
      <c r="G21" s="65"/>
      <c r="H21" s="65"/>
      <c r="I21" s="65"/>
      <c r="J21" s="65"/>
      <c r="K21" s="65"/>
      <c r="L21" s="65"/>
      <c r="M21" s="169"/>
      <c r="N21"/>
      <c r="O21" s="66"/>
    </row>
    <row r="22" spans="1:18" x14ac:dyDescent="0.2">
      <c r="A22" s="60"/>
      <c r="B22" s="60"/>
      <c r="C22" s="60"/>
      <c r="D22" s="60"/>
      <c r="E22" s="60"/>
      <c r="F22" s="60"/>
      <c r="G22" s="60"/>
      <c r="H22" s="60"/>
      <c r="I22" s="60"/>
      <c r="J22" s="60"/>
      <c r="K22" s="60"/>
      <c r="L22" s="60"/>
      <c r="M22" s="171"/>
      <c r="N22"/>
      <c r="O22" s="66"/>
    </row>
    <row r="23" spans="1:18" x14ac:dyDescent="0.2">
      <c r="A23" s="60"/>
      <c r="B23" s="60"/>
      <c r="C23" s="60"/>
      <c r="D23" s="60"/>
      <c r="E23" s="60"/>
      <c r="F23" s="60"/>
      <c r="G23" s="60"/>
      <c r="H23" s="60"/>
      <c r="I23" s="60"/>
      <c r="J23" s="60"/>
      <c r="K23" s="60"/>
    </row>
    <row r="24" spans="1:18" x14ac:dyDescent="0.2">
      <c r="A24" s="60"/>
      <c r="B24" s="60"/>
      <c r="C24" s="60"/>
      <c r="D24" s="60"/>
      <c r="E24" s="60"/>
      <c r="F24" s="60"/>
      <c r="G24" s="60"/>
      <c r="H24" s="60"/>
      <c r="I24" s="60"/>
      <c r="J24" s="60"/>
      <c r="K24" s="60"/>
    </row>
    <row r="25" spans="1:18" x14ac:dyDescent="0.2">
      <c r="A25" s="60"/>
      <c r="B25" s="60"/>
      <c r="C25" s="60"/>
      <c r="D25" s="60"/>
      <c r="E25" s="60"/>
      <c r="F25" s="60"/>
      <c r="G25" s="60"/>
      <c r="H25" s="60"/>
      <c r="I25" s="60"/>
      <c r="J25" s="60"/>
      <c r="K25" s="60"/>
    </row>
    <row r="26" spans="1:18" x14ac:dyDescent="0.2">
      <c r="A26" s="60"/>
      <c r="B26" s="60"/>
      <c r="C26" s="60"/>
      <c r="D26" s="60"/>
      <c r="E26" s="60"/>
      <c r="F26" s="60"/>
      <c r="G26" s="60"/>
      <c r="H26" s="60"/>
      <c r="I26" s="60"/>
      <c r="J26" s="60"/>
      <c r="K26" s="60"/>
    </row>
    <row r="27" spans="1:18" x14ac:dyDescent="0.2">
      <c r="A27" s="60"/>
      <c r="B27" s="60"/>
      <c r="C27" s="60"/>
      <c r="D27" s="60"/>
      <c r="E27" s="60"/>
      <c r="F27" s="60"/>
      <c r="G27" s="60"/>
      <c r="H27" s="60"/>
      <c r="I27" s="60"/>
      <c r="J27" s="60"/>
      <c r="K27" s="60"/>
    </row>
    <row r="28" spans="1:18" x14ac:dyDescent="0.2">
      <c r="A28" s="60"/>
      <c r="B28" s="60"/>
      <c r="C28" s="60"/>
      <c r="D28" s="60"/>
      <c r="E28" s="60"/>
      <c r="F28" s="60"/>
      <c r="G28" s="60"/>
      <c r="H28" s="60"/>
      <c r="I28" s="60"/>
      <c r="J28" s="60"/>
      <c r="K28" s="60"/>
    </row>
    <row r="29" spans="1:18" x14ac:dyDescent="0.2">
      <c r="A29" s="60"/>
      <c r="B29" s="60"/>
      <c r="C29" s="60"/>
      <c r="D29" s="60"/>
      <c r="E29" s="60"/>
      <c r="F29" s="60"/>
      <c r="G29" s="60"/>
      <c r="H29" s="60"/>
      <c r="I29" s="60"/>
      <c r="J29" s="60"/>
      <c r="K29" s="60"/>
    </row>
    <row r="30" spans="1:18" x14ac:dyDescent="0.2">
      <c r="A30" s="60"/>
      <c r="B30" s="60"/>
      <c r="C30" s="60"/>
      <c r="D30" s="60"/>
      <c r="E30" s="60"/>
      <c r="F30" s="60"/>
      <c r="G30" s="60"/>
      <c r="H30" s="60"/>
      <c r="I30" s="60"/>
      <c r="J30" s="60"/>
      <c r="K30" s="60"/>
    </row>
    <row r="31" spans="1:18" x14ac:dyDescent="0.2">
      <c r="A31" s="60"/>
      <c r="B31" s="60"/>
      <c r="C31" s="60"/>
      <c r="D31" s="60"/>
      <c r="E31" s="60"/>
      <c r="F31" s="60"/>
      <c r="G31" s="60"/>
      <c r="H31" s="60"/>
      <c r="I31" s="60"/>
      <c r="J31" s="60"/>
      <c r="K31" s="60"/>
    </row>
    <row r="32" spans="1:18" x14ac:dyDescent="0.2">
      <c r="A32" s="60"/>
      <c r="B32" s="60"/>
      <c r="C32" s="60"/>
      <c r="D32" s="60"/>
      <c r="E32" s="60"/>
      <c r="F32" s="60"/>
      <c r="G32" s="60"/>
      <c r="H32" s="60"/>
      <c r="I32" s="60"/>
      <c r="J32" s="60"/>
      <c r="K32" s="60"/>
    </row>
    <row r="33" spans="1:11" x14ac:dyDescent="0.2">
      <c r="A33" s="60"/>
      <c r="B33" s="60"/>
      <c r="C33" s="60"/>
      <c r="D33" s="60"/>
      <c r="E33" s="60"/>
      <c r="F33" s="60"/>
      <c r="G33" s="60"/>
      <c r="H33" s="60"/>
      <c r="I33" s="60"/>
      <c r="J33" s="60"/>
      <c r="K33" s="60"/>
    </row>
    <row r="34" spans="1:11" x14ac:dyDescent="0.2">
      <c r="A34" s="60"/>
      <c r="B34" s="60"/>
      <c r="C34" s="60"/>
      <c r="D34" s="60"/>
      <c r="E34" s="60"/>
      <c r="F34" s="60"/>
      <c r="G34" s="60"/>
      <c r="H34" s="60"/>
      <c r="I34" s="60"/>
      <c r="J34" s="60"/>
      <c r="K34" s="60"/>
    </row>
    <row r="35" spans="1:11" x14ac:dyDescent="0.2">
      <c r="A35" s="60"/>
      <c r="B35" s="60"/>
      <c r="C35" s="60"/>
      <c r="D35" s="60"/>
      <c r="E35" s="60"/>
      <c r="F35" s="60"/>
      <c r="G35" s="60"/>
      <c r="H35" s="60"/>
      <c r="I35" s="60"/>
      <c r="J35" s="60"/>
      <c r="K35" s="60"/>
    </row>
    <row r="36" spans="1:11" x14ac:dyDescent="0.2">
      <c r="A36" s="60"/>
      <c r="B36" s="60"/>
      <c r="C36" s="60"/>
      <c r="D36" s="60"/>
      <c r="E36" s="60"/>
      <c r="F36" s="60"/>
      <c r="G36" s="60"/>
      <c r="H36" s="60"/>
      <c r="I36" s="60"/>
      <c r="J36" s="60"/>
      <c r="K36" s="60"/>
    </row>
    <row r="37" spans="1:11" x14ac:dyDescent="0.2">
      <c r="A37" s="60"/>
      <c r="B37" s="60"/>
      <c r="C37" s="60"/>
      <c r="D37" s="60"/>
      <c r="E37" s="60"/>
      <c r="F37" s="60"/>
      <c r="G37" s="60"/>
      <c r="H37" s="60"/>
      <c r="I37" s="60"/>
      <c r="J37" s="60"/>
      <c r="K37" s="60"/>
    </row>
    <row r="38" spans="1:11" x14ac:dyDescent="0.2">
      <c r="A38" s="60"/>
      <c r="B38" s="60"/>
      <c r="C38" s="60"/>
      <c r="D38" s="60"/>
      <c r="E38" s="60"/>
      <c r="F38" s="60"/>
      <c r="G38" s="60"/>
      <c r="H38" s="60"/>
      <c r="I38" s="60"/>
      <c r="J38" s="60"/>
      <c r="K38" s="60"/>
    </row>
    <row r="39" spans="1:11" x14ac:dyDescent="0.2">
      <c r="A39" s="60"/>
      <c r="B39" s="60"/>
      <c r="C39" s="60"/>
      <c r="D39" s="60"/>
      <c r="E39" s="60"/>
      <c r="F39" s="60"/>
      <c r="G39" s="60"/>
      <c r="H39" s="60"/>
      <c r="I39" s="60"/>
      <c r="J39" s="60"/>
      <c r="K39" s="60"/>
    </row>
    <row r="40" spans="1:11" x14ac:dyDescent="0.2">
      <c r="A40" s="60"/>
      <c r="B40" s="60"/>
      <c r="C40" s="60"/>
      <c r="D40" s="60"/>
      <c r="E40" s="60"/>
      <c r="F40" s="60"/>
      <c r="G40" s="60"/>
      <c r="H40" s="60"/>
      <c r="I40" s="60"/>
      <c r="J40" s="60"/>
      <c r="K40" s="60"/>
    </row>
    <row r="41" spans="1:11" x14ac:dyDescent="0.2">
      <c r="A41" s="60"/>
      <c r="B41" s="60"/>
      <c r="C41" s="60"/>
      <c r="D41" s="60"/>
      <c r="E41" s="60"/>
      <c r="F41" s="60"/>
      <c r="G41" s="60"/>
      <c r="H41" s="60"/>
      <c r="I41" s="60"/>
      <c r="J41" s="60"/>
      <c r="K41" s="60"/>
    </row>
    <row r="42" spans="1:11" x14ac:dyDescent="0.2">
      <c r="A42" s="60"/>
      <c r="B42" s="60"/>
      <c r="C42" s="60"/>
      <c r="D42" s="60"/>
      <c r="E42" s="60"/>
      <c r="F42" s="60"/>
      <c r="G42" s="60"/>
      <c r="H42" s="60"/>
      <c r="I42" s="60"/>
      <c r="J42" s="60"/>
      <c r="K42" s="60"/>
    </row>
    <row r="43" spans="1:11" x14ac:dyDescent="0.2">
      <c r="A43" s="60"/>
      <c r="B43" s="60"/>
      <c r="C43" s="60"/>
      <c r="D43" s="60"/>
      <c r="E43" s="60"/>
      <c r="F43" s="60"/>
      <c r="G43" s="60"/>
      <c r="H43" s="60"/>
      <c r="I43" s="60"/>
      <c r="J43" s="60"/>
      <c r="K43" s="60"/>
    </row>
    <row r="44" spans="1:11" x14ac:dyDescent="0.2">
      <c r="A44" s="60"/>
      <c r="B44" s="60"/>
      <c r="C44" s="60"/>
      <c r="D44" s="60"/>
      <c r="E44" s="60"/>
      <c r="F44" s="60"/>
      <c r="G44" s="60"/>
      <c r="H44" s="60"/>
      <c r="I44" s="60"/>
      <c r="J44" s="60"/>
      <c r="K44" s="60"/>
    </row>
    <row r="45" spans="1:11" x14ac:dyDescent="0.2">
      <c r="A45" s="60"/>
      <c r="B45" s="60"/>
      <c r="C45" s="60"/>
      <c r="D45" s="60"/>
      <c r="E45" s="60"/>
      <c r="F45" s="60"/>
      <c r="G45" s="60"/>
      <c r="H45" s="60"/>
      <c r="I45" s="60"/>
      <c r="J45" s="60"/>
      <c r="K45" s="60"/>
    </row>
    <row r="46" spans="1:11" x14ac:dyDescent="0.2">
      <c r="A46" s="60"/>
      <c r="B46" s="60"/>
      <c r="C46" s="60"/>
      <c r="D46" s="60"/>
      <c r="E46" s="60"/>
      <c r="F46" s="60"/>
      <c r="G46" s="60"/>
      <c r="H46" s="60"/>
      <c r="I46" s="60"/>
      <c r="J46" s="60"/>
      <c r="K46" s="60"/>
    </row>
    <row r="47" spans="1:11" x14ac:dyDescent="0.2">
      <c r="A47" s="60"/>
      <c r="B47" s="60"/>
      <c r="C47" s="60"/>
      <c r="D47" s="60"/>
      <c r="E47" s="60"/>
      <c r="F47" s="60"/>
      <c r="G47" s="60"/>
      <c r="H47" s="60"/>
      <c r="I47" s="60"/>
      <c r="J47" s="60"/>
      <c r="K47" s="60"/>
    </row>
    <row r="48" spans="1:11" x14ac:dyDescent="0.2">
      <c r="A48" s="60"/>
      <c r="B48" s="60"/>
      <c r="C48" s="60"/>
      <c r="D48" s="60"/>
      <c r="E48" s="60"/>
      <c r="F48" s="60"/>
      <c r="G48" s="60"/>
      <c r="H48" s="60"/>
      <c r="I48" s="60"/>
      <c r="J48" s="60"/>
      <c r="K48" s="60"/>
    </row>
    <row r="49" spans="1:11" x14ac:dyDescent="0.2">
      <c r="A49" s="60"/>
      <c r="B49" s="60"/>
      <c r="C49" s="60"/>
      <c r="D49" s="60"/>
      <c r="E49" s="60"/>
      <c r="F49" s="60"/>
      <c r="G49" s="60"/>
      <c r="H49" s="60"/>
      <c r="I49" s="60"/>
      <c r="J49" s="60"/>
      <c r="K49" s="60"/>
    </row>
    <row r="50" spans="1:11" x14ac:dyDescent="0.2">
      <c r="A50" s="60"/>
      <c r="B50" s="60"/>
      <c r="C50" s="60"/>
      <c r="D50" s="60"/>
      <c r="E50" s="60"/>
      <c r="F50" s="60"/>
      <c r="G50" s="60"/>
      <c r="H50" s="60"/>
      <c r="I50" s="60"/>
      <c r="J50" s="60"/>
      <c r="K50" s="60"/>
    </row>
    <row r="51" spans="1:11" x14ac:dyDescent="0.2">
      <c r="A51" s="60"/>
      <c r="B51" s="60"/>
      <c r="C51" s="60"/>
      <c r="D51" s="60"/>
      <c r="E51" s="60"/>
      <c r="F51" s="60"/>
      <c r="G51" s="60"/>
      <c r="H51" s="60"/>
      <c r="I51" s="60"/>
      <c r="J51" s="60"/>
      <c r="K51" s="60"/>
    </row>
    <row r="52" spans="1:11" x14ac:dyDescent="0.2">
      <c r="A52" s="60"/>
      <c r="B52" s="60"/>
      <c r="C52" s="60"/>
      <c r="D52" s="60"/>
      <c r="E52" s="60"/>
      <c r="F52" s="60"/>
      <c r="G52" s="60"/>
      <c r="H52" s="60"/>
      <c r="I52" s="60"/>
      <c r="J52" s="60"/>
      <c r="K52" s="60"/>
    </row>
    <row r="53" spans="1:11" x14ac:dyDescent="0.2">
      <c r="A53" s="60"/>
      <c r="B53" s="60"/>
      <c r="C53" s="60"/>
      <c r="D53" s="60"/>
      <c r="E53" s="60"/>
      <c r="F53" s="60"/>
      <c r="G53" s="60"/>
      <c r="H53" s="60"/>
      <c r="I53" s="60"/>
      <c r="J53" s="60"/>
      <c r="K53" s="60"/>
    </row>
    <row r="54" spans="1:11" x14ac:dyDescent="0.2">
      <c r="A54" s="60"/>
      <c r="B54" s="60"/>
      <c r="C54" s="60"/>
      <c r="D54" s="60"/>
      <c r="E54" s="60"/>
      <c r="F54" s="60"/>
      <c r="G54" s="60"/>
      <c r="H54" s="60"/>
      <c r="I54" s="60"/>
      <c r="J54" s="60"/>
      <c r="K54" s="60"/>
    </row>
    <row r="55" spans="1:11" x14ac:dyDescent="0.2">
      <c r="A55" s="60"/>
      <c r="B55" s="60"/>
      <c r="C55" s="60"/>
      <c r="D55" s="60"/>
      <c r="E55" s="60"/>
      <c r="F55" s="60"/>
      <c r="G55" s="60"/>
      <c r="H55" s="60"/>
      <c r="I55" s="60"/>
      <c r="J55" s="60"/>
      <c r="K55" s="60"/>
    </row>
    <row r="56" spans="1:11" x14ac:dyDescent="0.2">
      <c r="A56" s="60"/>
      <c r="B56" s="60"/>
      <c r="C56" s="60"/>
      <c r="D56" s="60"/>
      <c r="E56" s="60"/>
      <c r="F56" s="60"/>
      <c r="G56" s="60"/>
      <c r="H56" s="60"/>
      <c r="I56" s="60"/>
      <c r="J56" s="60"/>
      <c r="K56" s="60"/>
    </row>
    <row r="57" spans="1:11" x14ac:dyDescent="0.2">
      <c r="A57" s="60"/>
      <c r="B57" s="60"/>
      <c r="C57" s="60"/>
      <c r="D57" s="60"/>
      <c r="E57" s="60"/>
      <c r="F57" s="60"/>
      <c r="G57" s="60"/>
      <c r="H57" s="60"/>
      <c r="I57" s="60"/>
      <c r="J57" s="60"/>
      <c r="K57" s="60"/>
    </row>
    <row r="58" spans="1:11" x14ac:dyDescent="0.2">
      <c r="A58" s="60"/>
      <c r="B58" s="60"/>
      <c r="C58" s="60"/>
      <c r="D58" s="60"/>
      <c r="E58" s="60"/>
      <c r="F58" s="60"/>
      <c r="G58" s="60"/>
      <c r="H58" s="60"/>
      <c r="I58" s="60"/>
      <c r="J58" s="60"/>
      <c r="K58" s="60"/>
    </row>
    <row r="59" spans="1:11" x14ac:dyDescent="0.2">
      <c r="A59" s="60"/>
      <c r="B59" s="60"/>
      <c r="C59" s="60"/>
      <c r="D59" s="60"/>
      <c r="E59" s="60"/>
      <c r="F59" s="60"/>
      <c r="G59" s="60"/>
      <c r="H59" s="60"/>
      <c r="I59" s="60"/>
      <c r="J59" s="60"/>
      <c r="K59" s="60"/>
    </row>
    <row r="60" spans="1:11" x14ac:dyDescent="0.2">
      <c r="A60" s="60"/>
      <c r="B60" s="60"/>
      <c r="C60" s="60"/>
      <c r="D60" s="60"/>
      <c r="E60" s="60"/>
      <c r="F60" s="60"/>
      <c r="G60" s="60"/>
      <c r="H60" s="60"/>
      <c r="I60" s="60"/>
      <c r="J60" s="60"/>
      <c r="K60" s="60"/>
    </row>
    <row r="61" spans="1:11" x14ac:dyDescent="0.2">
      <c r="A61" s="60"/>
      <c r="B61" s="60"/>
      <c r="C61" s="60"/>
      <c r="D61" s="60"/>
      <c r="E61" s="60"/>
      <c r="F61" s="60"/>
      <c r="G61" s="60"/>
      <c r="H61" s="60"/>
      <c r="I61" s="60"/>
      <c r="J61" s="60"/>
      <c r="K61" s="60"/>
    </row>
    <row r="62" spans="1:11" x14ac:dyDescent="0.2">
      <c r="A62" s="60"/>
      <c r="B62" s="60"/>
      <c r="C62" s="60"/>
      <c r="D62" s="60"/>
      <c r="E62" s="60"/>
      <c r="F62" s="60"/>
      <c r="G62" s="60"/>
      <c r="H62" s="60"/>
      <c r="I62" s="60"/>
      <c r="J62" s="60"/>
      <c r="K62" s="60"/>
    </row>
    <row r="63" spans="1:11" x14ac:dyDescent="0.2">
      <c r="A63" s="60"/>
      <c r="B63" s="60"/>
      <c r="C63" s="60"/>
      <c r="D63" s="60"/>
      <c r="E63" s="60"/>
      <c r="F63" s="60"/>
      <c r="G63" s="60"/>
      <c r="H63" s="60"/>
      <c r="I63" s="60"/>
      <c r="J63" s="60"/>
      <c r="K63" s="60"/>
    </row>
    <row r="64" spans="1:11" x14ac:dyDescent="0.2">
      <c r="A64" s="60"/>
      <c r="B64" s="60"/>
      <c r="C64" s="60"/>
      <c r="D64" s="60"/>
      <c r="E64" s="60"/>
      <c r="F64" s="60"/>
      <c r="G64" s="60"/>
      <c r="H64" s="60"/>
      <c r="I64" s="60"/>
      <c r="J64" s="60"/>
      <c r="K64" s="60"/>
    </row>
    <row r="65" spans="1:11" x14ac:dyDescent="0.2">
      <c r="A65" s="60"/>
      <c r="B65" s="60"/>
      <c r="C65" s="60"/>
      <c r="D65" s="60"/>
      <c r="E65" s="60"/>
      <c r="F65" s="60"/>
      <c r="G65" s="60"/>
      <c r="H65" s="60"/>
      <c r="I65" s="60"/>
      <c r="J65" s="60"/>
      <c r="K65" s="60"/>
    </row>
    <row r="66" spans="1:11" x14ac:dyDescent="0.2">
      <c r="A66" s="60"/>
      <c r="B66" s="60"/>
      <c r="C66" s="60"/>
      <c r="D66" s="60"/>
      <c r="E66" s="60"/>
      <c r="F66" s="60"/>
      <c r="G66" s="60"/>
      <c r="H66" s="60"/>
      <c r="I66" s="60"/>
      <c r="J66" s="60"/>
      <c r="K66" s="60"/>
    </row>
    <row r="67" spans="1:11" x14ac:dyDescent="0.2">
      <c r="A67" s="60"/>
      <c r="B67" s="60"/>
      <c r="C67" s="60"/>
      <c r="D67" s="60"/>
      <c r="E67" s="60"/>
      <c r="F67" s="60"/>
      <c r="G67" s="60"/>
      <c r="H67" s="60"/>
      <c r="I67" s="60"/>
      <c r="J67" s="60"/>
      <c r="K67" s="60"/>
    </row>
    <row r="68" spans="1:11" x14ac:dyDescent="0.2">
      <c r="A68" s="60"/>
      <c r="B68" s="60"/>
      <c r="C68" s="60"/>
      <c r="D68" s="60"/>
      <c r="E68" s="60"/>
      <c r="F68" s="60"/>
      <c r="G68" s="60"/>
      <c r="H68" s="60"/>
      <c r="I68" s="60"/>
      <c r="J68" s="60"/>
      <c r="K68" s="60"/>
    </row>
    <row r="69" spans="1:11" x14ac:dyDescent="0.2">
      <c r="A69" s="60"/>
      <c r="B69" s="60"/>
      <c r="C69" s="60"/>
      <c r="D69" s="60"/>
      <c r="E69" s="60"/>
      <c r="F69" s="60"/>
      <c r="G69" s="60"/>
      <c r="H69" s="60"/>
      <c r="I69" s="60"/>
      <c r="J69" s="60"/>
      <c r="K69" s="60"/>
    </row>
    <row r="70" spans="1:11" x14ac:dyDescent="0.2">
      <c r="A70" s="60"/>
      <c r="B70" s="60"/>
      <c r="C70" s="60"/>
      <c r="D70" s="60"/>
      <c r="E70" s="60"/>
      <c r="F70" s="60"/>
      <c r="G70" s="60"/>
      <c r="H70" s="60"/>
      <c r="I70" s="60"/>
      <c r="J70" s="60"/>
      <c r="K70" s="60"/>
    </row>
    <row r="71" spans="1:11" x14ac:dyDescent="0.2">
      <c r="A71" s="60"/>
      <c r="B71" s="60"/>
      <c r="C71" s="60"/>
      <c r="D71" s="60"/>
      <c r="E71" s="60"/>
      <c r="F71" s="60"/>
      <c r="G71" s="60"/>
      <c r="H71" s="60"/>
      <c r="I71" s="60"/>
      <c r="J71" s="60"/>
      <c r="K71" s="60"/>
    </row>
    <row r="72" spans="1:11" x14ac:dyDescent="0.2">
      <c r="A72" s="60"/>
      <c r="B72" s="60"/>
      <c r="C72" s="60"/>
      <c r="D72" s="60"/>
      <c r="E72" s="60"/>
      <c r="F72" s="60"/>
      <c r="G72" s="60"/>
      <c r="H72" s="60"/>
      <c r="I72" s="60"/>
      <c r="J72" s="60"/>
      <c r="K72" s="60"/>
    </row>
    <row r="73" spans="1:11" x14ac:dyDescent="0.2">
      <c r="A73" s="60"/>
      <c r="B73" s="60"/>
      <c r="C73" s="60"/>
      <c r="D73" s="60"/>
      <c r="E73" s="60"/>
      <c r="F73" s="60"/>
      <c r="G73" s="60"/>
      <c r="H73" s="60"/>
      <c r="I73" s="60"/>
      <c r="J73" s="60"/>
      <c r="K73" s="60"/>
    </row>
    <row r="74" spans="1:11" x14ac:dyDescent="0.2">
      <c r="A74" s="60"/>
      <c r="B74" s="60"/>
      <c r="C74" s="60"/>
      <c r="D74" s="60"/>
      <c r="E74" s="60"/>
      <c r="F74" s="60"/>
      <c r="G74" s="60"/>
      <c r="H74" s="60"/>
      <c r="I74" s="60"/>
      <c r="J74" s="60"/>
      <c r="K74" s="60"/>
    </row>
    <row r="75" spans="1:11" x14ac:dyDescent="0.2">
      <c r="A75" s="60"/>
      <c r="B75" s="60"/>
      <c r="C75" s="60"/>
      <c r="D75" s="60"/>
      <c r="E75" s="60"/>
      <c r="F75" s="60"/>
      <c r="G75" s="60"/>
      <c r="H75" s="60"/>
      <c r="I75" s="60"/>
      <c r="J75" s="60"/>
      <c r="K75" s="60"/>
    </row>
    <row r="76" spans="1:11" x14ac:dyDescent="0.2">
      <c r="A76" s="60"/>
      <c r="B76" s="60"/>
      <c r="C76" s="60"/>
      <c r="D76" s="60"/>
      <c r="E76" s="60"/>
      <c r="F76" s="60"/>
      <c r="G76" s="60"/>
      <c r="H76" s="60"/>
      <c r="I76" s="60"/>
      <c r="J76" s="60"/>
      <c r="K76" s="60"/>
    </row>
    <row r="77" spans="1:11" x14ac:dyDescent="0.2">
      <c r="A77" s="60"/>
      <c r="B77" s="60"/>
      <c r="C77" s="60"/>
      <c r="D77" s="60"/>
      <c r="E77" s="60"/>
      <c r="F77" s="60"/>
      <c r="G77" s="60"/>
      <c r="H77" s="60"/>
      <c r="I77" s="60"/>
      <c r="J77" s="60"/>
      <c r="K77" s="60"/>
    </row>
    <row r="78" spans="1:11" x14ac:dyDescent="0.2">
      <c r="A78" s="60"/>
      <c r="B78" s="60"/>
      <c r="C78" s="60"/>
      <c r="D78" s="60"/>
      <c r="E78" s="60"/>
      <c r="F78" s="60"/>
      <c r="G78" s="60"/>
      <c r="H78" s="60"/>
      <c r="I78" s="60"/>
      <c r="J78" s="60"/>
      <c r="K78" s="60"/>
    </row>
    <row r="79" spans="1:11" x14ac:dyDescent="0.2">
      <c r="A79" s="60"/>
      <c r="B79" s="60"/>
      <c r="C79" s="60"/>
      <c r="D79" s="60"/>
      <c r="E79" s="60"/>
      <c r="F79" s="60"/>
      <c r="G79" s="60"/>
      <c r="H79" s="60"/>
      <c r="I79" s="60"/>
      <c r="J79" s="60"/>
      <c r="K79" s="60"/>
    </row>
    <row r="80" spans="1:11" x14ac:dyDescent="0.2">
      <c r="A80" s="60"/>
      <c r="B80" s="60"/>
      <c r="C80" s="60"/>
      <c r="D80" s="60"/>
      <c r="E80" s="60"/>
      <c r="F80" s="60"/>
      <c r="G80" s="60"/>
      <c r="H80" s="60"/>
      <c r="I80" s="60"/>
      <c r="J80" s="60"/>
      <c r="K80" s="60"/>
    </row>
    <row r="81" spans="1:11" x14ac:dyDescent="0.2">
      <c r="A81" s="60"/>
      <c r="B81" s="60"/>
      <c r="C81" s="60"/>
      <c r="D81" s="60"/>
      <c r="E81" s="60"/>
      <c r="F81" s="60"/>
      <c r="G81" s="60"/>
      <c r="H81" s="60"/>
      <c r="I81" s="60"/>
      <c r="J81" s="60"/>
      <c r="K81" s="60"/>
    </row>
    <row r="82" spans="1:11" x14ac:dyDescent="0.2">
      <c r="A82" s="60"/>
      <c r="B82" s="60"/>
      <c r="C82" s="60"/>
      <c r="D82" s="60"/>
      <c r="E82" s="60"/>
      <c r="F82" s="60"/>
      <c r="G82" s="60"/>
      <c r="H82" s="60"/>
      <c r="I82" s="60"/>
      <c r="J82" s="60"/>
      <c r="K82" s="60"/>
    </row>
    <row r="83" spans="1:11" x14ac:dyDescent="0.2">
      <c r="A83" s="60"/>
      <c r="B83" s="60"/>
      <c r="C83" s="60"/>
      <c r="D83" s="60"/>
      <c r="E83" s="60"/>
      <c r="F83" s="60"/>
      <c r="G83" s="60"/>
      <c r="H83" s="60"/>
      <c r="I83" s="60"/>
      <c r="J83" s="60"/>
      <c r="K83" s="60"/>
    </row>
    <row r="84" spans="1:11" x14ac:dyDescent="0.2">
      <c r="A84" s="60"/>
      <c r="B84" s="60"/>
      <c r="C84" s="60"/>
      <c r="D84" s="60"/>
      <c r="E84" s="60"/>
      <c r="F84" s="60"/>
      <c r="G84" s="60"/>
      <c r="H84" s="60"/>
      <c r="I84" s="60"/>
      <c r="J84" s="60"/>
      <c r="K84" s="60"/>
    </row>
    <row r="85" spans="1:11" x14ac:dyDescent="0.2">
      <c r="A85" s="60"/>
      <c r="B85" s="60"/>
      <c r="C85" s="60"/>
      <c r="D85" s="60"/>
      <c r="E85" s="60"/>
      <c r="F85" s="60"/>
      <c r="G85" s="60"/>
      <c r="H85" s="60"/>
      <c r="I85" s="60"/>
      <c r="J85" s="60"/>
      <c r="K85" s="60"/>
    </row>
    <row r="86" spans="1:11" x14ac:dyDescent="0.2">
      <c r="A86" s="60"/>
      <c r="B86" s="60"/>
      <c r="C86" s="60"/>
      <c r="D86" s="60"/>
      <c r="E86" s="60"/>
      <c r="F86" s="60"/>
      <c r="G86" s="60"/>
      <c r="H86" s="60"/>
      <c r="I86" s="60"/>
      <c r="J86" s="60"/>
      <c r="K86" s="60"/>
    </row>
    <row r="87" spans="1:11" x14ac:dyDescent="0.2">
      <c r="A87" s="60"/>
      <c r="B87" s="60"/>
      <c r="C87" s="60"/>
      <c r="D87" s="60"/>
      <c r="E87" s="60"/>
      <c r="F87" s="60"/>
      <c r="G87" s="60"/>
      <c r="H87" s="60"/>
      <c r="I87" s="60"/>
      <c r="J87" s="60"/>
      <c r="K87" s="60"/>
    </row>
    <row r="88" spans="1:11" x14ac:dyDescent="0.2">
      <c r="A88" s="60"/>
      <c r="B88" s="60"/>
      <c r="C88" s="60"/>
      <c r="D88" s="60"/>
      <c r="E88" s="60"/>
      <c r="F88" s="60"/>
      <c r="G88" s="60"/>
      <c r="H88" s="60"/>
      <c r="I88" s="60"/>
      <c r="J88" s="60"/>
      <c r="K88" s="60"/>
    </row>
    <row r="89" spans="1:11" x14ac:dyDescent="0.2">
      <c r="A89" s="60"/>
      <c r="B89" s="60"/>
      <c r="C89" s="60"/>
      <c r="D89" s="60"/>
      <c r="E89" s="60"/>
      <c r="F89" s="60"/>
      <c r="G89" s="60"/>
      <c r="H89" s="60"/>
      <c r="I89" s="60"/>
      <c r="J89" s="60"/>
      <c r="K89" s="60"/>
    </row>
    <row r="90" spans="1:11" x14ac:dyDescent="0.2">
      <c r="A90" s="60"/>
      <c r="B90" s="60"/>
      <c r="C90" s="60"/>
      <c r="D90" s="60"/>
      <c r="E90" s="60"/>
      <c r="F90" s="60"/>
      <c r="G90" s="60"/>
      <c r="H90" s="60"/>
      <c r="I90" s="60"/>
      <c r="J90" s="60"/>
      <c r="K90" s="60"/>
    </row>
    <row r="91" spans="1:11" x14ac:dyDescent="0.2">
      <c r="A91" s="60"/>
      <c r="B91" s="60"/>
      <c r="C91" s="60"/>
      <c r="D91" s="60"/>
      <c r="E91" s="60"/>
      <c r="F91" s="60"/>
      <c r="G91" s="60"/>
      <c r="H91" s="60"/>
      <c r="I91" s="60"/>
      <c r="J91" s="60"/>
      <c r="K91" s="60"/>
    </row>
    <row r="92" spans="1:11" x14ac:dyDescent="0.2">
      <c r="A92" s="60"/>
      <c r="B92" s="60"/>
      <c r="C92" s="60"/>
      <c r="D92" s="60"/>
      <c r="E92" s="60"/>
      <c r="F92" s="60"/>
      <c r="G92" s="60"/>
      <c r="H92" s="60"/>
      <c r="I92" s="60"/>
      <c r="J92" s="60"/>
      <c r="K92" s="60"/>
    </row>
    <row r="93" spans="1:11" x14ac:dyDescent="0.2">
      <c r="A93" s="60"/>
      <c r="B93" s="60"/>
      <c r="C93" s="60"/>
      <c r="D93" s="60"/>
      <c r="E93" s="60"/>
      <c r="F93" s="60"/>
      <c r="G93" s="60"/>
      <c r="H93" s="60"/>
      <c r="I93" s="60"/>
      <c r="J93" s="60"/>
      <c r="K93" s="60"/>
    </row>
    <row r="94" spans="1:11" x14ac:dyDescent="0.2">
      <c r="A94" s="60"/>
      <c r="B94" s="60"/>
      <c r="C94" s="60"/>
      <c r="D94" s="60"/>
      <c r="E94" s="60"/>
      <c r="F94" s="60"/>
      <c r="G94" s="60"/>
      <c r="H94" s="60"/>
      <c r="I94" s="60"/>
      <c r="J94" s="60"/>
      <c r="K94" s="60"/>
    </row>
    <row r="95" spans="1:11" x14ac:dyDescent="0.2">
      <c r="A95" s="60"/>
      <c r="B95" s="60"/>
      <c r="C95" s="60"/>
      <c r="D95" s="60"/>
      <c r="E95" s="60"/>
      <c r="F95" s="60"/>
      <c r="G95" s="60"/>
      <c r="H95" s="60"/>
      <c r="I95" s="60"/>
      <c r="J95" s="60"/>
      <c r="K95" s="60"/>
    </row>
    <row r="96" spans="1:11" x14ac:dyDescent="0.2">
      <c r="A96" s="60"/>
      <c r="B96" s="60"/>
      <c r="C96" s="60"/>
      <c r="D96" s="60"/>
      <c r="E96" s="60"/>
      <c r="F96" s="60"/>
      <c r="G96" s="60"/>
      <c r="H96" s="60"/>
      <c r="I96" s="60"/>
      <c r="J96" s="60"/>
      <c r="K96" s="60"/>
    </row>
    <row r="97" spans="1:11" x14ac:dyDescent="0.2">
      <c r="A97" s="60"/>
      <c r="B97" s="60"/>
      <c r="C97" s="60"/>
      <c r="D97" s="60"/>
      <c r="E97" s="60"/>
      <c r="F97" s="60"/>
      <c r="G97" s="60"/>
      <c r="H97" s="60"/>
      <c r="I97" s="60"/>
      <c r="J97" s="60"/>
      <c r="K97" s="60"/>
    </row>
    <row r="98" spans="1:11" x14ac:dyDescent="0.2">
      <c r="A98" s="60"/>
      <c r="B98" s="60"/>
      <c r="C98" s="60"/>
      <c r="D98" s="60"/>
      <c r="E98" s="60"/>
      <c r="F98" s="60"/>
      <c r="G98" s="60"/>
      <c r="H98" s="60"/>
      <c r="I98" s="60"/>
      <c r="J98" s="60"/>
      <c r="K98" s="60"/>
    </row>
    <row r="99" spans="1:11" x14ac:dyDescent="0.2">
      <c r="A99" s="60"/>
      <c r="B99" s="60"/>
      <c r="C99" s="60"/>
      <c r="D99" s="60"/>
      <c r="E99" s="60"/>
      <c r="F99" s="60"/>
      <c r="G99" s="60"/>
      <c r="H99" s="60"/>
      <c r="I99" s="60"/>
      <c r="J99" s="60"/>
      <c r="K99" s="60"/>
    </row>
    <row r="100" spans="1:11" x14ac:dyDescent="0.2">
      <c r="A100" s="60"/>
      <c r="B100" s="60"/>
      <c r="C100" s="60"/>
      <c r="D100" s="60"/>
      <c r="E100" s="60"/>
      <c r="F100" s="60"/>
      <c r="G100" s="60"/>
      <c r="H100" s="60"/>
      <c r="I100" s="60"/>
      <c r="J100" s="60"/>
      <c r="K100" s="60"/>
    </row>
    <row r="101" spans="1:11" x14ac:dyDescent="0.2">
      <c r="A101" s="60"/>
      <c r="B101" s="60"/>
      <c r="C101" s="60"/>
      <c r="D101" s="60"/>
      <c r="E101" s="60"/>
      <c r="F101" s="60"/>
      <c r="G101" s="60"/>
      <c r="H101" s="60"/>
      <c r="I101" s="60"/>
      <c r="J101" s="60"/>
      <c r="K101" s="60"/>
    </row>
    <row r="102" spans="1:11" x14ac:dyDescent="0.2">
      <c r="A102" s="60"/>
      <c r="B102" s="60"/>
      <c r="C102" s="60"/>
      <c r="D102" s="60"/>
      <c r="E102" s="60"/>
      <c r="F102" s="60"/>
      <c r="G102" s="60"/>
      <c r="H102" s="60"/>
      <c r="I102" s="60"/>
      <c r="J102" s="60"/>
      <c r="K102" s="60"/>
    </row>
    <row r="103" spans="1:11" x14ac:dyDescent="0.2">
      <c r="A103" s="60"/>
      <c r="B103" s="60"/>
      <c r="C103" s="60"/>
      <c r="D103" s="60"/>
      <c r="E103" s="60"/>
      <c r="F103" s="60"/>
      <c r="G103" s="60"/>
      <c r="H103" s="60"/>
      <c r="I103" s="60"/>
      <c r="J103" s="60"/>
      <c r="K103" s="60"/>
    </row>
    <row r="104" spans="1:11" x14ac:dyDescent="0.2">
      <c r="A104" s="60"/>
      <c r="B104" s="60"/>
      <c r="C104" s="60"/>
      <c r="D104" s="60"/>
      <c r="E104" s="60"/>
      <c r="F104" s="60"/>
      <c r="G104" s="60"/>
      <c r="H104" s="60"/>
      <c r="I104" s="60"/>
      <c r="J104" s="60"/>
      <c r="K104" s="60"/>
    </row>
    <row r="105" spans="1:11" x14ac:dyDescent="0.2">
      <c r="A105" s="60"/>
      <c r="B105" s="60"/>
      <c r="C105" s="60"/>
      <c r="D105" s="60"/>
      <c r="E105" s="60"/>
      <c r="F105" s="60"/>
      <c r="G105" s="60"/>
      <c r="H105" s="60"/>
      <c r="I105" s="60"/>
      <c r="J105" s="60"/>
      <c r="K105" s="60"/>
    </row>
    <row r="106" spans="1:11" x14ac:dyDescent="0.2">
      <c r="A106" s="60"/>
      <c r="B106" s="60"/>
      <c r="C106" s="60"/>
      <c r="D106" s="60"/>
      <c r="E106" s="60"/>
      <c r="F106" s="60"/>
      <c r="G106" s="60"/>
      <c r="H106" s="60"/>
      <c r="I106" s="60"/>
      <c r="J106" s="60"/>
      <c r="K106" s="60"/>
    </row>
    <row r="107" spans="1:11" x14ac:dyDescent="0.2">
      <c r="A107" s="60"/>
      <c r="B107" s="60"/>
      <c r="C107" s="60"/>
      <c r="D107" s="60"/>
      <c r="E107" s="60"/>
      <c r="F107" s="60"/>
      <c r="G107" s="60"/>
      <c r="H107" s="60"/>
      <c r="I107" s="60"/>
      <c r="J107" s="60"/>
      <c r="K107" s="60"/>
    </row>
    <row r="108" spans="1:11" x14ac:dyDescent="0.2">
      <c r="A108" s="60"/>
      <c r="B108" s="60"/>
      <c r="C108" s="60"/>
      <c r="D108" s="60"/>
      <c r="E108" s="60"/>
      <c r="F108" s="60"/>
      <c r="G108" s="60"/>
      <c r="H108" s="60"/>
      <c r="I108" s="60"/>
      <c r="J108" s="60"/>
      <c r="K108" s="60"/>
    </row>
    <row r="109" spans="1:11" x14ac:dyDescent="0.2">
      <c r="A109" s="60"/>
      <c r="B109" s="60"/>
      <c r="C109" s="60"/>
      <c r="D109" s="60"/>
      <c r="E109" s="60"/>
      <c r="F109" s="60"/>
      <c r="G109" s="60"/>
      <c r="H109" s="60"/>
      <c r="I109" s="60"/>
      <c r="J109" s="60"/>
      <c r="K109" s="60"/>
    </row>
    <row r="110" spans="1:11" x14ac:dyDescent="0.2">
      <c r="A110" s="60"/>
      <c r="B110" s="60"/>
      <c r="C110" s="60"/>
      <c r="D110" s="60"/>
      <c r="E110" s="60"/>
      <c r="F110" s="60"/>
      <c r="G110" s="60"/>
      <c r="H110" s="60"/>
      <c r="I110" s="60"/>
      <c r="J110" s="60"/>
      <c r="K110" s="60"/>
    </row>
    <row r="111" spans="1:11" x14ac:dyDescent="0.2">
      <c r="A111" s="60"/>
      <c r="B111" s="60"/>
      <c r="C111" s="60"/>
      <c r="D111" s="60"/>
      <c r="E111" s="60"/>
      <c r="F111" s="60"/>
      <c r="G111" s="60"/>
      <c r="H111" s="60"/>
      <c r="I111" s="60"/>
      <c r="J111" s="60"/>
      <c r="K111" s="60"/>
    </row>
    <row r="112" spans="1:11" x14ac:dyDescent="0.2">
      <c r="A112" s="60"/>
      <c r="B112" s="60"/>
      <c r="C112" s="60"/>
      <c r="D112" s="60"/>
      <c r="E112" s="60"/>
      <c r="F112" s="60"/>
      <c r="G112" s="60"/>
      <c r="H112" s="60"/>
      <c r="I112" s="60"/>
      <c r="J112" s="60"/>
      <c r="K112" s="60"/>
    </row>
    <row r="113" spans="1:11" x14ac:dyDescent="0.2">
      <c r="A113" s="60"/>
      <c r="B113" s="60"/>
      <c r="C113" s="60"/>
      <c r="D113" s="60"/>
      <c r="E113" s="60"/>
      <c r="F113" s="60"/>
      <c r="G113" s="60"/>
      <c r="H113" s="60"/>
      <c r="I113" s="60"/>
      <c r="J113" s="60"/>
      <c r="K113" s="60"/>
    </row>
    <row r="114" spans="1:11" x14ac:dyDescent="0.2">
      <c r="A114" s="60"/>
      <c r="B114" s="60"/>
      <c r="C114" s="60"/>
      <c r="D114" s="60"/>
      <c r="E114" s="60"/>
      <c r="F114" s="60"/>
      <c r="G114" s="60"/>
      <c r="H114" s="60"/>
      <c r="I114" s="60"/>
      <c r="J114" s="60"/>
      <c r="K114" s="60"/>
    </row>
    <row r="115" spans="1:11" x14ac:dyDescent="0.2">
      <c r="A115" s="60"/>
      <c r="B115" s="60"/>
      <c r="C115" s="60"/>
      <c r="D115" s="60"/>
      <c r="E115" s="60"/>
      <c r="F115" s="60"/>
      <c r="G115" s="60"/>
      <c r="H115" s="60"/>
      <c r="I115" s="60"/>
      <c r="J115" s="60"/>
      <c r="K115" s="60"/>
    </row>
    <row r="116" spans="1:11" x14ac:dyDescent="0.2">
      <c r="A116" s="60"/>
      <c r="B116" s="60"/>
      <c r="C116" s="60"/>
      <c r="D116" s="60"/>
      <c r="E116" s="60"/>
      <c r="F116" s="60"/>
      <c r="G116" s="60"/>
      <c r="H116" s="60"/>
      <c r="I116" s="60"/>
      <c r="J116" s="60"/>
      <c r="K116" s="60"/>
    </row>
    <row r="117" spans="1:11" x14ac:dyDescent="0.2">
      <c r="A117" s="60"/>
      <c r="B117" s="60"/>
      <c r="C117" s="60"/>
      <c r="D117" s="60"/>
      <c r="E117" s="60"/>
      <c r="F117" s="60"/>
      <c r="G117" s="60"/>
      <c r="H117" s="60"/>
      <c r="I117" s="60"/>
      <c r="J117" s="60"/>
      <c r="K117" s="60"/>
    </row>
    <row r="118" spans="1:11" x14ac:dyDescent="0.2">
      <c r="A118" s="60"/>
      <c r="B118" s="60"/>
      <c r="C118" s="60"/>
      <c r="D118" s="60"/>
      <c r="E118" s="60"/>
      <c r="F118" s="60"/>
      <c r="G118" s="60"/>
      <c r="H118" s="60"/>
      <c r="I118" s="60"/>
      <c r="J118" s="60"/>
      <c r="K118" s="60"/>
    </row>
    <row r="119" spans="1:11" x14ac:dyDescent="0.2">
      <c r="A119" s="60"/>
      <c r="B119" s="60"/>
      <c r="C119" s="60"/>
      <c r="D119" s="60"/>
      <c r="E119" s="60"/>
      <c r="F119" s="60"/>
      <c r="G119" s="60"/>
      <c r="H119" s="60"/>
      <c r="I119" s="60"/>
      <c r="J119" s="60"/>
      <c r="K119" s="60"/>
    </row>
    <row r="120" spans="1:11" x14ac:dyDescent="0.2">
      <c r="A120" s="60"/>
      <c r="B120" s="60"/>
      <c r="C120" s="60"/>
      <c r="D120" s="60"/>
      <c r="E120" s="60"/>
      <c r="F120" s="60"/>
      <c r="G120" s="60"/>
      <c r="H120" s="60"/>
      <c r="I120" s="60"/>
      <c r="J120" s="60"/>
      <c r="K120" s="60"/>
    </row>
  </sheetData>
  <pageMargins left="0.25" right="0.25" top="0.75" bottom="0.75" header="0.3" footer="0.3"/>
  <pageSetup scale="79" fitToHeight="0" orientation="landscape" r:id="rId1"/>
  <headerFooter alignWithMargins="0"/>
  <legacy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P102"/>
  <sheetViews>
    <sheetView zoomScaleNormal="100" workbookViewId="0">
      <selection activeCell="C18" sqref="C18"/>
    </sheetView>
  </sheetViews>
  <sheetFormatPr defaultRowHeight="12.75" x14ac:dyDescent="0.2"/>
  <cols>
    <col min="2" max="2" width="2.5703125" customWidth="1"/>
    <col min="3" max="12" width="12.28515625" customWidth="1"/>
    <col min="13" max="13" width="2.28515625" customWidth="1"/>
    <col min="14" max="14" width="14.85546875" bestFit="1" customWidth="1"/>
  </cols>
  <sheetData>
    <row r="1" spans="1:16" x14ac:dyDescent="0.2">
      <c r="A1" s="52" t="str">
        <f>"Residential Tonnages by Commodity:  "&amp;TEXT(A7,"mmmm")&amp;" - "&amp;TEXT(A18,"mmmm")</f>
        <v>Residential Tonnages by Commodity:  May - April</v>
      </c>
      <c r="B1" s="53"/>
    </row>
    <row r="2" spans="1:16" ht="13.5" customHeight="1" x14ac:dyDescent="0.2">
      <c r="A2" s="54" t="str">
        <f>[36]WUTC_KENT_MF!A1</f>
        <v>Kent-Meridian Disposal</v>
      </c>
      <c r="B2" s="54"/>
    </row>
    <row r="3" spans="1:16" ht="13.5" customHeight="1" x14ac:dyDescent="0.2">
      <c r="A3" s="54"/>
      <c r="B3" s="54"/>
    </row>
    <row r="4" spans="1:16" x14ac:dyDescent="0.2">
      <c r="A4" s="53"/>
      <c r="B4" s="55"/>
      <c r="C4" s="56" t="s">
        <v>21</v>
      </c>
      <c r="D4" s="56" t="s">
        <v>22</v>
      </c>
      <c r="E4" s="56" t="s">
        <v>55</v>
      </c>
      <c r="F4" s="56" t="s">
        <v>23</v>
      </c>
      <c r="G4" s="56" t="s">
        <v>24</v>
      </c>
      <c r="H4" s="56" t="s">
        <v>25</v>
      </c>
      <c r="I4" s="56" t="s">
        <v>26</v>
      </c>
      <c r="J4" s="56" t="s">
        <v>27</v>
      </c>
      <c r="K4" s="56" t="s">
        <v>28</v>
      </c>
      <c r="L4" s="56" t="s">
        <v>29</v>
      </c>
      <c r="M4" s="56"/>
      <c r="N4" s="56" t="s">
        <v>30</v>
      </c>
    </row>
    <row r="5" spans="1:16" s="58" customFormat="1" x14ac:dyDescent="0.2">
      <c r="A5" s="57"/>
      <c r="B5" s="57"/>
      <c r="C5" s="107">
        <v>55</v>
      </c>
      <c r="D5" s="108">
        <v>57</v>
      </c>
      <c r="E5" s="108">
        <v>58</v>
      </c>
      <c r="F5" s="107">
        <v>53</v>
      </c>
      <c r="G5" s="107">
        <v>50</v>
      </c>
      <c r="H5" s="107">
        <v>60</v>
      </c>
      <c r="I5" s="107">
        <v>54</v>
      </c>
      <c r="J5" s="107">
        <v>54</v>
      </c>
      <c r="K5" s="107">
        <v>51</v>
      </c>
      <c r="L5" s="107">
        <v>59</v>
      </c>
    </row>
    <row r="6" spans="1:16" x14ac:dyDescent="0.2">
      <c r="A6" s="59"/>
      <c r="B6" s="60"/>
      <c r="C6" s="61"/>
      <c r="D6" s="61"/>
      <c r="E6" s="61"/>
      <c r="F6" s="61"/>
      <c r="G6" s="61"/>
      <c r="H6" s="61"/>
      <c r="I6" s="61"/>
      <c r="J6" s="61"/>
      <c r="L6" s="60"/>
      <c r="M6" s="60"/>
      <c r="N6" s="61" t="s">
        <v>31</v>
      </c>
    </row>
    <row r="7" spans="1:16" x14ac:dyDescent="0.2">
      <c r="A7" s="59">
        <f>[36]Multi_Family!C6</f>
        <v>41425</v>
      </c>
      <c r="B7" s="60"/>
      <c r="C7" s="65">
        <f>HLOOKUP($A7,[36]Multi_Family!$C$6:$N$79,C$5,FALSE)</f>
        <v>7.7174999999999994E-2</v>
      </c>
      <c r="D7" s="69">
        <f>HLOOKUP($A7,[36]Multi_Family!$C$6:$N$79,D$5,FALSE)</f>
        <v>1.819272</v>
      </c>
      <c r="E7" s="69">
        <f>HLOOKUP($A7,[36]Multi_Family!$C$6:$N$79,E$5,FALSE)</f>
        <v>0</v>
      </c>
      <c r="F7" s="65">
        <f>HLOOKUP($A7,[36]Multi_Family!$C$6:$N$79,F$5,FALSE)</f>
        <v>0.16978499999999999</v>
      </c>
      <c r="G7" s="65">
        <f>HLOOKUP($A7,[36]Multi_Family!$C$6:$N$79,G$5,FALSE)</f>
        <v>2.0065499999999998</v>
      </c>
      <c r="H7" s="65">
        <f>HLOOKUP($A7,[36]Multi_Family!$C$6:$N$79,H$5,FALSE)</f>
        <v>3.3113219999999988</v>
      </c>
      <c r="I7" s="65">
        <f>HLOOKUP($A7,[36]Multi_Family!$C$6:$N$79,I$5,FALSE)/2</f>
        <v>0.23101049999999998</v>
      </c>
      <c r="J7" s="65">
        <f>HLOOKUP($A7,[36]Multi_Family!$C$6:$N$79,J$5,FALSE)/2</f>
        <v>0.23101049999999998</v>
      </c>
      <c r="K7" s="65">
        <f>HLOOKUP($A7,[36]Multi_Family!$C$6:$N$79,K$5,FALSE)</f>
        <v>1.8336779999999999</v>
      </c>
      <c r="L7" s="69">
        <f>HLOOKUP($A7,[36]Multi_Family!$C$6:$N$79,L$5,FALSE)</f>
        <v>0.61019700000000132</v>
      </c>
      <c r="M7" s="70"/>
      <c r="N7" s="70">
        <f t="shared" ref="N7:N18" si="0">SUM(C7:L7)</f>
        <v>10.290000000000001</v>
      </c>
      <c r="P7" s="62"/>
    </row>
    <row r="8" spans="1:16" x14ac:dyDescent="0.2">
      <c r="A8" s="59">
        <f t="shared" ref="A8:A17" si="1">EOMONTH(A7,1)</f>
        <v>41455</v>
      </c>
      <c r="B8" s="60"/>
      <c r="C8" s="65">
        <f>HLOOKUP($A8,[36]Multi_Family!$C$6:$N$79,C$5,FALSE)</f>
        <v>6.4350000000000004E-2</v>
      </c>
      <c r="D8" s="69">
        <f>HLOOKUP($A8,[36]Multi_Family!$C$6:$N$79,D$5,FALSE)</f>
        <v>1.5169440000000001</v>
      </c>
      <c r="E8" s="69">
        <f>HLOOKUP($A8,[36]Multi_Family!$C$6:$N$79,E$5,FALSE)</f>
        <v>0</v>
      </c>
      <c r="F8" s="65">
        <f>HLOOKUP($A8,[36]Multi_Family!$C$6:$N$79,F$5,FALSE)</f>
        <v>0.14157</v>
      </c>
      <c r="G8" s="65">
        <f>HLOOKUP($A8,[36]Multi_Family!$C$6:$N$79,G$5,FALSE)</f>
        <v>1.6731</v>
      </c>
      <c r="H8" s="65">
        <f>HLOOKUP($A8,[36]Multi_Family!$C$6:$N$79,H$5,FALSE)</f>
        <v>2.7610439999999992</v>
      </c>
      <c r="I8" s="65">
        <f>HLOOKUP($A8,[36]Multi_Family!$C$6:$N$79,I$5,FALSE)/2</f>
        <v>0.19262100000000001</v>
      </c>
      <c r="J8" s="65">
        <f>HLOOKUP($A8,[36]Multi_Family!$C$6:$N$79,J$5,FALSE)/2</f>
        <v>0.19262100000000001</v>
      </c>
      <c r="K8" s="65">
        <f>HLOOKUP($A8,[36]Multi_Family!$C$6:$N$79,K$5,FALSE)</f>
        <v>1.528956</v>
      </c>
      <c r="L8" s="69">
        <f>HLOOKUP($A8,[36]Multi_Family!$C$6:$N$79,L$5,FALSE)</f>
        <v>0.50879400000000108</v>
      </c>
      <c r="M8" s="70"/>
      <c r="N8" s="70">
        <f t="shared" si="0"/>
        <v>8.5800000000000018</v>
      </c>
      <c r="P8" s="62"/>
    </row>
    <row r="9" spans="1:16" x14ac:dyDescent="0.2">
      <c r="A9" s="59">
        <f t="shared" si="1"/>
        <v>41486</v>
      </c>
      <c r="B9" s="60"/>
      <c r="C9" s="65">
        <f>HLOOKUP($A9,[36]Multi_Family!$C$6:$N$79,C$5,FALSE)</f>
        <v>6.5174999999999997E-2</v>
      </c>
      <c r="D9" s="69">
        <f>HLOOKUP($A9,[36]Multi_Family!$C$6:$N$79,D$5,FALSE)</f>
        <v>1.536392</v>
      </c>
      <c r="E9" s="69">
        <f>HLOOKUP($A9,[36]Multi_Family!$C$6:$N$79,E$5,FALSE)</f>
        <v>0</v>
      </c>
      <c r="F9" s="65">
        <f>HLOOKUP($A9,[36]Multi_Family!$C$6:$N$79,F$5,FALSE)</f>
        <v>0.14338499999999998</v>
      </c>
      <c r="G9" s="65">
        <f>HLOOKUP($A9,[36]Multi_Family!$C$6:$N$79,G$5,FALSE)</f>
        <v>1.69455</v>
      </c>
      <c r="H9" s="65">
        <f>HLOOKUP($A9,[36]Multi_Family!$C$6:$N$79,H$5,FALSE)</f>
        <v>2.7964419999999981</v>
      </c>
      <c r="I9" s="65">
        <f>HLOOKUP($A9,[36]Multi_Family!$C$6:$N$79,I$5,FALSE)/2</f>
        <v>0.1950905</v>
      </c>
      <c r="J9" s="65">
        <f>HLOOKUP($A9,[36]Multi_Family!$C$6:$N$79,J$5,FALSE)/2</f>
        <v>0.1950905</v>
      </c>
      <c r="K9" s="65">
        <f>HLOOKUP($A9,[36]Multi_Family!$C$6:$N$79,K$5,FALSE)</f>
        <v>1.5485579999999999</v>
      </c>
      <c r="L9" s="69">
        <f>HLOOKUP($A9,[36]Multi_Family!$C$6:$N$79,L$5,FALSE)</f>
        <v>0.51531700000000114</v>
      </c>
      <c r="M9" s="70"/>
      <c r="N9" s="70">
        <f t="shared" si="0"/>
        <v>8.69</v>
      </c>
      <c r="P9" s="62"/>
    </row>
    <row r="10" spans="1:16" x14ac:dyDescent="0.2">
      <c r="A10" s="59">
        <f t="shared" si="1"/>
        <v>41517</v>
      </c>
      <c r="B10" s="60"/>
      <c r="C10" s="65">
        <f>HLOOKUP($A10,[36]Multi_Family!$C$6:$N$79,C$5,FALSE)</f>
        <v>5.4524999999999997E-2</v>
      </c>
      <c r="D10" s="69">
        <f>HLOOKUP($A10,[36]Multi_Family!$C$6:$N$79,D$5,FALSE)</f>
        <v>1.285336</v>
      </c>
      <c r="E10" s="69">
        <f>HLOOKUP($A10,[36]Multi_Family!$C$6:$N$79,E$5,FALSE)</f>
        <v>0</v>
      </c>
      <c r="F10" s="65">
        <f>HLOOKUP($A10,[36]Multi_Family!$C$6:$N$79,F$5,FALSE)</f>
        <v>0.11995499999999999</v>
      </c>
      <c r="G10" s="65">
        <f>HLOOKUP($A10,[36]Multi_Family!$C$6:$N$79,G$5,FALSE)</f>
        <v>1.4176499999999999</v>
      </c>
      <c r="H10" s="65">
        <f>HLOOKUP($A10,[36]Multi_Family!$C$6:$N$79,H$5,FALSE)</f>
        <v>2.3394859999999991</v>
      </c>
      <c r="I10" s="65">
        <f>HLOOKUP($A10,[36]Multi_Family!$C$6:$N$79,I$5,FALSE)/2</f>
        <v>0.16321150000000001</v>
      </c>
      <c r="J10" s="65">
        <f>HLOOKUP($A10,[36]Multi_Family!$C$6:$N$79,J$5,FALSE)/2</f>
        <v>0.16321150000000001</v>
      </c>
      <c r="K10" s="65">
        <f>HLOOKUP($A10,[36]Multi_Family!$C$6:$N$79,K$5,FALSE)</f>
        <v>1.2955139999999998</v>
      </c>
      <c r="L10" s="69">
        <f>HLOOKUP($A10,[36]Multi_Family!$C$6:$N$79,L$5,FALSE)</f>
        <v>0.43111100000000091</v>
      </c>
      <c r="M10" s="70"/>
      <c r="N10" s="70">
        <f t="shared" si="0"/>
        <v>7.27</v>
      </c>
      <c r="P10" s="62"/>
    </row>
    <row r="11" spans="1:16" x14ac:dyDescent="0.2">
      <c r="A11" s="59">
        <f t="shared" si="1"/>
        <v>41547</v>
      </c>
      <c r="B11" s="60"/>
      <c r="C11" s="65">
        <f>HLOOKUP($A11,[36]Multi_Family!$C$6:$N$79,C$5,FALSE)</f>
        <v>6.8025000000000002E-2</v>
      </c>
      <c r="D11" s="69">
        <f>HLOOKUP($A11,[36]Multi_Family!$C$6:$N$79,D$5,FALSE)</f>
        <v>1.6035760000000001</v>
      </c>
      <c r="E11" s="69">
        <f>HLOOKUP($A11,[36]Multi_Family!$C$6:$N$79,E$5,FALSE)</f>
        <v>0</v>
      </c>
      <c r="F11" s="65">
        <f>HLOOKUP($A11,[36]Multi_Family!$C$6:$N$79,F$5,FALSE)</f>
        <v>0.14965500000000001</v>
      </c>
      <c r="G11" s="65">
        <f>HLOOKUP($A11,[36]Multi_Family!$C$6:$N$79,G$5,FALSE)</f>
        <v>1.7686500000000001</v>
      </c>
      <c r="H11" s="65">
        <f>HLOOKUP($A11,[36]Multi_Family!$C$6:$N$79,H$5,FALSE)</f>
        <v>2.9187259999999977</v>
      </c>
      <c r="I11" s="65">
        <f>HLOOKUP($A11,[36]Multi_Family!$C$6:$N$79,I$5,FALSE)/2</f>
        <v>0.20362150000000001</v>
      </c>
      <c r="J11" s="65">
        <f>HLOOKUP($A11,[36]Multi_Family!$C$6:$N$79,J$5,FALSE)/2</f>
        <v>0.20362150000000001</v>
      </c>
      <c r="K11" s="65">
        <f>HLOOKUP($A11,[36]Multi_Family!$C$6:$N$79,K$5,FALSE)</f>
        <v>1.616274</v>
      </c>
      <c r="L11" s="69">
        <f>HLOOKUP($A11,[36]Multi_Family!$C$6:$N$79,L$5,FALSE)</f>
        <v>0.53785100000000119</v>
      </c>
      <c r="M11" s="70"/>
      <c r="N11" s="70">
        <f t="shared" si="0"/>
        <v>9.0699999999999985</v>
      </c>
      <c r="P11" s="62"/>
    </row>
    <row r="12" spans="1:16" x14ac:dyDescent="0.2">
      <c r="A12" s="59">
        <f t="shared" si="1"/>
        <v>41578</v>
      </c>
      <c r="B12" s="60"/>
      <c r="C12" s="65">
        <f>HLOOKUP($A12,[36]Multi_Family!$C$6:$N$79,C$5,FALSE)</f>
        <v>6.1424999999999993E-2</v>
      </c>
      <c r="D12" s="69">
        <f>HLOOKUP($A12,[36]Multi_Family!$C$6:$N$79,D$5,FALSE)</f>
        <v>1.4479919999999999</v>
      </c>
      <c r="E12" s="69">
        <f>HLOOKUP($A12,[36]Multi_Family!$C$6:$N$79,E$5,FALSE)</f>
        <v>0</v>
      </c>
      <c r="F12" s="65">
        <f>HLOOKUP($A12,[36]Multi_Family!$C$6:$N$79,F$5,FALSE)</f>
        <v>0.13513500000000001</v>
      </c>
      <c r="G12" s="65">
        <f>HLOOKUP($A12,[36]Multi_Family!$C$6:$N$79,G$5,FALSE)</f>
        <v>1.5970499999999999</v>
      </c>
      <c r="H12" s="65">
        <f>HLOOKUP($A12,[36]Multi_Family!$C$6:$N$79,H$5,FALSE)</f>
        <v>2.6355419999999983</v>
      </c>
      <c r="I12" s="65">
        <f>HLOOKUP($A12,[36]Multi_Family!$C$6:$N$79,I$5,FALSE)/2</f>
        <v>0.18386549999999999</v>
      </c>
      <c r="J12" s="65">
        <f>HLOOKUP($A12,[36]Multi_Family!$C$6:$N$79,J$5,FALSE)/2</f>
        <v>0.18386549999999999</v>
      </c>
      <c r="K12" s="65">
        <f>HLOOKUP($A12,[36]Multi_Family!$C$6:$N$79,K$5,FALSE)</f>
        <v>1.4594579999999999</v>
      </c>
      <c r="L12" s="69">
        <f>HLOOKUP($A12,[36]Multi_Family!$C$6:$N$79,L$5,FALSE)</f>
        <v>0.48566700000000101</v>
      </c>
      <c r="M12" s="70"/>
      <c r="N12" s="70">
        <f t="shared" si="0"/>
        <v>8.1899999999999977</v>
      </c>
      <c r="P12" s="62"/>
    </row>
    <row r="13" spans="1:16" x14ac:dyDescent="0.2">
      <c r="A13" s="59">
        <f t="shared" si="1"/>
        <v>41608</v>
      </c>
      <c r="B13" s="60"/>
      <c r="C13" s="65">
        <f>HLOOKUP($A13,[36]Multi_Family!$C$6:$N$79,C$5,FALSE)</f>
        <v>5.6249999999999994E-2</v>
      </c>
      <c r="D13" s="69">
        <f>HLOOKUP($A13,[36]Multi_Family!$C$6:$N$79,D$5,FALSE)</f>
        <v>1.3260000000000001</v>
      </c>
      <c r="E13" s="69">
        <f>HLOOKUP($A13,[36]Multi_Family!$C$6:$N$79,E$5,FALSE)</f>
        <v>0</v>
      </c>
      <c r="F13" s="65">
        <f>HLOOKUP($A13,[36]Multi_Family!$C$6:$N$79,F$5,FALSE)</f>
        <v>0.12375</v>
      </c>
      <c r="G13" s="65">
        <f>HLOOKUP($A13,[36]Multi_Family!$C$6:$N$79,G$5,FALSE)</f>
        <v>1.4625000000000001</v>
      </c>
      <c r="H13" s="65">
        <f>HLOOKUP($A13,[36]Multi_Family!$C$6:$N$79,H$5,FALSE)</f>
        <v>2.4134999999999991</v>
      </c>
      <c r="I13" s="65">
        <f>HLOOKUP($A13,[36]Multi_Family!$C$6:$N$79,I$5,FALSE)/2</f>
        <v>0.168375</v>
      </c>
      <c r="J13" s="65">
        <f>HLOOKUP($A13,[36]Multi_Family!$C$6:$N$79,J$5,FALSE)/2</f>
        <v>0.168375</v>
      </c>
      <c r="K13" s="65">
        <f>HLOOKUP($A13,[36]Multi_Family!$C$6:$N$79,K$5,FALSE)</f>
        <v>1.3365</v>
      </c>
      <c r="L13" s="69">
        <f>HLOOKUP($A13,[36]Multi_Family!$C$6:$N$79,L$5,FALSE)</f>
        <v>0.44475000000000098</v>
      </c>
      <c r="M13" s="70"/>
      <c r="N13" s="70">
        <f t="shared" si="0"/>
        <v>7.5000000000000009</v>
      </c>
      <c r="P13" s="62"/>
    </row>
    <row r="14" spans="1:16" x14ac:dyDescent="0.2">
      <c r="A14" s="59">
        <f t="shared" si="1"/>
        <v>41639</v>
      </c>
      <c r="B14" s="60"/>
      <c r="C14" s="65">
        <f>HLOOKUP($A14,[36]Multi_Family!$C$6:$N$79,C$5,FALSE)</f>
        <v>6.6750000000000004E-2</v>
      </c>
      <c r="D14" s="69">
        <f>HLOOKUP($A14,[36]Multi_Family!$C$6:$N$79,D$5,FALSE)</f>
        <v>1.5735200000000003</v>
      </c>
      <c r="E14" s="69">
        <f>HLOOKUP($A14,[36]Multi_Family!$C$6:$N$79,E$5,FALSE)</f>
        <v>0</v>
      </c>
      <c r="F14" s="65">
        <f>HLOOKUP($A14,[36]Multi_Family!$C$6:$N$79,F$5,FALSE)</f>
        <v>0.14685000000000001</v>
      </c>
      <c r="G14" s="65">
        <f>HLOOKUP($A14,[36]Multi_Family!$C$6:$N$79,G$5,FALSE)</f>
        <v>1.7355</v>
      </c>
      <c r="H14" s="65">
        <f>HLOOKUP($A14,[36]Multi_Family!$C$6:$N$79,H$5,FALSE)</f>
        <v>2.8640199999999991</v>
      </c>
      <c r="I14" s="65">
        <f>HLOOKUP($A14,[36]Multi_Family!$C$6:$N$79,I$5,FALSE)/2</f>
        <v>0.19980500000000001</v>
      </c>
      <c r="J14" s="65">
        <f>HLOOKUP($A14,[36]Multi_Family!$C$6:$N$79,J$5,FALSE)/2</f>
        <v>0.19980500000000001</v>
      </c>
      <c r="K14" s="65">
        <f>HLOOKUP($A14,[36]Multi_Family!$C$6:$N$79,K$5,FALSE)</f>
        <v>1.5859799999999999</v>
      </c>
      <c r="L14" s="69">
        <f>HLOOKUP($A14,[36]Multi_Family!$C$6:$N$79,L$5,FALSE)</f>
        <v>0.52777000000000118</v>
      </c>
      <c r="M14" s="70"/>
      <c r="N14" s="70">
        <f t="shared" si="0"/>
        <v>8.8999999999999986</v>
      </c>
      <c r="P14" s="62"/>
    </row>
    <row r="15" spans="1:16" x14ac:dyDescent="0.2">
      <c r="A15" s="59">
        <f t="shared" si="1"/>
        <v>41670</v>
      </c>
      <c r="B15" s="60"/>
      <c r="C15" s="65">
        <f>HLOOKUP($A15,[36]Multi_Family!$C$6:$N$79,C$5,FALSE)</f>
        <v>4.7774999999999998E-2</v>
      </c>
      <c r="D15" s="69">
        <f>HLOOKUP($A15,[36]Multi_Family!$C$6:$N$79,D$5,FALSE)</f>
        <v>1.1262160000000001</v>
      </c>
      <c r="E15" s="69">
        <f>HLOOKUP($A15,[36]Multi_Family!$C$6:$N$79,E$5,FALSE)</f>
        <v>0</v>
      </c>
      <c r="F15" s="65">
        <f>HLOOKUP($A15,[36]Multi_Family!$C$6:$N$79,F$5,FALSE)</f>
        <v>0.105105</v>
      </c>
      <c r="G15" s="65">
        <f>HLOOKUP($A15,[36]Multi_Family!$C$6:$N$79,G$5,FALSE)</f>
        <v>1.2421500000000001</v>
      </c>
      <c r="H15" s="65">
        <f>HLOOKUP($A15,[36]Multi_Family!$C$6:$N$79,H$5,FALSE)</f>
        <v>2.049865999999998</v>
      </c>
      <c r="I15" s="65">
        <f>HLOOKUP($A15,[36]Multi_Family!$C$6:$N$79,I$5,FALSE)/2</f>
        <v>0.14300650000000001</v>
      </c>
      <c r="J15" s="65">
        <f>HLOOKUP($A15,[36]Multi_Family!$C$6:$N$79,J$5,FALSE)/2</f>
        <v>0.14300650000000001</v>
      </c>
      <c r="K15" s="65">
        <f>HLOOKUP($A15,[36]Multi_Family!$C$6:$N$79,K$5,FALSE)</f>
        <v>1.1351340000000001</v>
      </c>
      <c r="L15" s="69">
        <f>HLOOKUP($A15,[36]Multi_Family!$C$6:$N$79,L$5,FALSE)</f>
        <v>0.37774100000000083</v>
      </c>
      <c r="M15" s="70"/>
      <c r="N15" s="70">
        <f t="shared" si="0"/>
        <v>6.3699999999999992</v>
      </c>
      <c r="P15" s="62"/>
    </row>
    <row r="16" spans="1:16" x14ac:dyDescent="0.2">
      <c r="A16" s="59">
        <f t="shared" si="1"/>
        <v>41698</v>
      </c>
      <c r="B16" s="60"/>
      <c r="C16" s="65">
        <f>HLOOKUP($A16,[36]Multi_Family!$C$6:$N$79,C$5,FALSE)</f>
        <v>3.8399999999999997E-2</v>
      </c>
      <c r="D16" s="69">
        <f>HLOOKUP($A16,[36]Multi_Family!$C$6:$N$79,D$5,FALSE)</f>
        <v>0.90521600000000013</v>
      </c>
      <c r="E16" s="69">
        <f>HLOOKUP($A16,[36]Multi_Family!$C$6:$N$79,E$5,FALSE)</f>
        <v>0</v>
      </c>
      <c r="F16" s="65">
        <f>HLOOKUP($A16,[36]Multi_Family!$C$6:$N$79,F$5,FALSE)</f>
        <v>8.448E-2</v>
      </c>
      <c r="G16" s="65">
        <f>HLOOKUP($A16,[36]Multi_Family!$C$6:$N$79,G$5,FALSE)</f>
        <v>0.99840000000000007</v>
      </c>
      <c r="H16" s="65">
        <f>HLOOKUP($A16,[36]Multi_Family!$C$6:$N$79,H$5,FALSE)</f>
        <v>1.6476159999999989</v>
      </c>
      <c r="I16" s="65">
        <f>HLOOKUP($A16,[36]Multi_Family!$C$6:$N$79,I$5,FALSE)/2</f>
        <v>0.114944</v>
      </c>
      <c r="J16" s="65">
        <f>HLOOKUP($A16,[36]Multi_Family!$C$6:$N$79,J$5,FALSE)/2</f>
        <v>0.114944</v>
      </c>
      <c r="K16" s="65">
        <f>HLOOKUP($A16,[36]Multi_Family!$C$6:$N$79,K$5,FALSE)</f>
        <v>0.91238399999999997</v>
      </c>
      <c r="L16" s="69">
        <f>HLOOKUP($A16,[36]Multi_Family!$C$6:$N$79,L$5,FALSE)</f>
        <v>0.30361600000000066</v>
      </c>
      <c r="M16" s="70"/>
      <c r="N16" s="70">
        <f t="shared" si="0"/>
        <v>5.12</v>
      </c>
      <c r="P16" s="62"/>
    </row>
    <row r="17" spans="1:16" x14ac:dyDescent="0.2">
      <c r="A17" s="59">
        <f t="shared" si="1"/>
        <v>41729</v>
      </c>
      <c r="B17" s="60"/>
      <c r="C17" s="65">
        <f>HLOOKUP($A17,[36]Multi_Family!$C$6:$N$79,C$5,FALSE)</f>
        <v>4.9950000000000001E-2</v>
      </c>
      <c r="D17" s="69">
        <f>HLOOKUP($A17,[36]Multi_Family!$C$6:$N$79,D$5,FALSE)</f>
        <v>1.1774880000000001</v>
      </c>
      <c r="E17" s="69">
        <f>HLOOKUP($A17,[36]Multi_Family!$C$6:$N$79,E$5,FALSE)</f>
        <v>0</v>
      </c>
      <c r="F17" s="65">
        <f>HLOOKUP($A17,[36]Multi_Family!$C$6:$N$79,F$5,FALSE)</f>
        <v>0.10989</v>
      </c>
      <c r="G17" s="65">
        <f>HLOOKUP($A17,[36]Multi_Family!$C$6:$N$79,G$5,FALSE)</f>
        <v>1.2987</v>
      </c>
      <c r="H17" s="65">
        <f>HLOOKUP($A17,[36]Multi_Family!$C$6:$N$79,H$5,FALSE)</f>
        <v>2.1431879999999994</v>
      </c>
      <c r="I17" s="65">
        <f>HLOOKUP($A17,[36]Multi_Family!$C$6:$N$79,I$5,FALSE)/2</f>
        <v>0.14951700000000001</v>
      </c>
      <c r="J17" s="65">
        <f>HLOOKUP($A17,[36]Multi_Family!$C$6:$N$79,J$5,FALSE)/2</f>
        <v>0.14951700000000001</v>
      </c>
      <c r="K17" s="65">
        <f>HLOOKUP($A17,[36]Multi_Family!$C$6:$N$79,K$5,FALSE)</f>
        <v>1.186812</v>
      </c>
      <c r="L17" s="69">
        <f>HLOOKUP($A17,[36]Multi_Family!$C$6:$N$79,L$5,FALSE)</f>
        <v>0.3949380000000009</v>
      </c>
      <c r="M17" s="70"/>
      <c r="N17" s="70">
        <f t="shared" si="0"/>
        <v>6.660000000000001</v>
      </c>
      <c r="P17" s="62"/>
    </row>
    <row r="18" spans="1:16" x14ac:dyDescent="0.2">
      <c r="A18" s="59">
        <f>EOMONTH(A17,1)</f>
        <v>41759</v>
      </c>
      <c r="B18" s="60"/>
      <c r="C18" s="65">
        <f>HLOOKUP($A18,[36]Multi_Family!$C$6:$N$79,C$5,FALSE)</f>
        <v>4.0500000000000001E-2</v>
      </c>
      <c r="D18" s="69">
        <f>HLOOKUP($A18,[36]Multi_Family!$C$6:$N$79,D$5,FALSE)</f>
        <v>0.95472000000000012</v>
      </c>
      <c r="E18" s="69">
        <f>HLOOKUP($A18,[36]Multi_Family!$C$6:$N$79,E$5,FALSE)</f>
        <v>0</v>
      </c>
      <c r="F18" s="65">
        <f>HLOOKUP($A18,[36]Multi_Family!$C$6:$N$79,F$5,FALSE)</f>
        <v>8.9100000000000013E-2</v>
      </c>
      <c r="G18" s="65">
        <f>HLOOKUP($A18,[36]Multi_Family!$C$6:$N$79,G$5,FALSE)</f>
        <v>1.0530000000000002</v>
      </c>
      <c r="H18" s="65">
        <f>HLOOKUP($A18,[36]Multi_Family!$C$6:$N$79,H$5,FALSE)</f>
        <v>1.737719999999999</v>
      </c>
      <c r="I18" s="65">
        <f>HLOOKUP($A18,[36]Multi_Family!$C$6:$N$79,I$5,FALSE)/2</f>
        <v>0.12123000000000002</v>
      </c>
      <c r="J18" s="65">
        <f>HLOOKUP($A18,[36]Multi_Family!$C$6:$N$79,J$5,FALSE)/2</f>
        <v>0.12123000000000002</v>
      </c>
      <c r="K18" s="65">
        <f>HLOOKUP($A18,[36]Multi_Family!$C$6:$N$79,K$5,FALSE)</f>
        <v>0.96228000000000002</v>
      </c>
      <c r="L18" s="69">
        <f>HLOOKUP($A18,[36]Multi_Family!$C$6:$N$79,L$5,FALSE)</f>
        <v>0.32022000000000073</v>
      </c>
      <c r="M18" s="70"/>
      <c r="N18" s="70">
        <f t="shared" si="0"/>
        <v>5.4</v>
      </c>
      <c r="P18" s="62"/>
    </row>
    <row r="19" spans="1:16" ht="13.5" customHeight="1" x14ac:dyDescent="0.2">
      <c r="A19" s="59"/>
      <c r="B19" s="60"/>
      <c r="C19" s="70"/>
      <c r="D19" s="70"/>
      <c r="E19" s="70"/>
      <c r="F19" s="70"/>
      <c r="G19" s="70"/>
      <c r="H19" s="70"/>
      <c r="I19" s="70"/>
      <c r="J19" s="70"/>
      <c r="K19" s="70"/>
      <c r="L19" s="70"/>
      <c r="M19" s="70"/>
      <c r="N19" s="70"/>
      <c r="O19" t="s">
        <v>32</v>
      </c>
    </row>
    <row r="20" spans="1:16" x14ac:dyDescent="0.2">
      <c r="A20" s="63" t="s">
        <v>33</v>
      </c>
      <c r="B20" s="60"/>
      <c r="C20" s="77">
        <f t="shared" ref="C20:J20" si="2">SUM(C7:C19)</f>
        <v>0.69030000000000002</v>
      </c>
      <c r="D20" s="77">
        <f t="shared" si="2"/>
        <v>16.272672</v>
      </c>
      <c r="E20" s="77">
        <f t="shared" si="2"/>
        <v>0</v>
      </c>
      <c r="F20" s="77">
        <f t="shared" si="2"/>
        <v>1.5186599999999999</v>
      </c>
      <c r="G20" s="77">
        <f t="shared" si="2"/>
        <v>17.947800000000001</v>
      </c>
      <c r="H20" s="77">
        <f t="shared" si="2"/>
        <v>29.618471999999986</v>
      </c>
      <c r="I20" s="77">
        <f t="shared" si="2"/>
        <v>2.0662980000000002</v>
      </c>
      <c r="J20" s="77">
        <f t="shared" si="2"/>
        <v>2.0662980000000002</v>
      </c>
      <c r="K20" s="77">
        <f>SUM(K7:K19)</f>
        <v>16.401527999999999</v>
      </c>
      <c r="L20" s="77">
        <f>SUM(L7:L19)</f>
        <v>5.4579720000000131</v>
      </c>
      <c r="M20" s="70"/>
      <c r="N20" s="77">
        <f>SUM(N7:N18)</f>
        <v>92.04</v>
      </c>
      <c r="O20" s="61">
        <f>N20/15</f>
        <v>6.1360000000000001</v>
      </c>
    </row>
    <row r="21" spans="1:16" x14ac:dyDescent="0.2">
      <c r="A21" s="59"/>
      <c r="B21" s="60"/>
      <c r="C21" s="60"/>
      <c r="D21" s="60"/>
      <c r="E21" s="60"/>
      <c r="F21" s="60"/>
      <c r="G21" s="60"/>
      <c r="H21" s="60"/>
      <c r="I21" s="60"/>
      <c r="J21" s="60"/>
      <c r="K21" s="60"/>
      <c r="L21" s="60"/>
      <c r="M21" s="60"/>
      <c r="N21" s="61" t="str">
        <f>IF(N20&lt;&gt;SUM([36]Multi_Family!$C$66:$N$66),"ERROR","")</f>
        <v/>
      </c>
    </row>
    <row r="22" spans="1:16" x14ac:dyDescent="0.2">
      <c r="A22" s="60"/>
      <c r="B22" s="60"/>
      <c r="C22" s="60"/>
      <c r="D22" s="60"/>
      <c r="E22" s="60"/>
      <c r="F22" s="60"/>
      <c r="G22" s="60"/>
      <c r="H22" s="60"/>
      <c r="I22" s="60"/>
      <c r="J22" s="60"/>
      <c r="K22" s="60"/>
      <c r="L22" s="60"/>
      <c r="M22" s="61"/>
    </row>
    <row r="23" spans="1:16" x14ac:dyDescent="0.2">
      <c r="A23" s="60"/>
      <c r="B23" s="60"/>
      <c r="C23" s="60"/>
      <c r="D23" s="60"/>
      <c r="E23" s="60"/>
      <c r="F23" s="60"/>
      <c r="G23" s="60"/>
      <c r="H23" s="60"/>
      <c r="I23" s="60"/>
      <c r="J23" s="60"/>
      <c r="K23" s="60"/>
      <c r="L23" s="60"/>
      <c r="M23" s="61"/>
    </row>
    <row r="24" spans="1:16" x14ac:dyDescent="0.2">
      <c r="A24" s="60"/>
      <c r="B24" s="60"/>
      <c r="C24" s="60"/>
      <c r="D24" s="60"/>
      <c r="E24" s="60"/>
      <c r="F24" s="60"/>
      <c r="G24" s="60"/>
      <c r="H24" s="60"/>
      <c r="I24" s="60"/>
      <c r="J24" s="60"/>
      <c r="K24" s="60"/>
      <c r="L24" s="60"/>
      <c r="M24" s="61"/>
    </row>
    <row r="25" spans="1:16" x14ac:dyDescent="0.2">
      <c r="A25" s="60"/>
      <c r="B25" s="60"/>
      <c r="C25" s="60"/>
      <c r="D25" s="60"/>
      <c r="E25" s="60"/>
      <c r="F25" s="60"/>
      <c r="G25" s="60"/>
      <c r="H25" s="60"/>
      <c r="I25" s="60"/>
      <c r="J25" s="60"/>
      <c r="K25" s="60"/>
      <c r="L25" s="60"/>
      <c r="M25" s="60"/>
    </row>
    <row r="26" spans="1:16" x14ac:dyDescent="0.2">
      <c r="A26" s="60"/>
      <c r="B26" s="60"/>
      <c r="C26" s="60"/>
      <c r="D26" s="60"/>
      <c r="E26" s="60"/>
      <c r="F26" s="60"/>
      <c r="G26" s="60"/>
      <c r="H26" s="60"/>
      <c r="I26" s="60"/>
      <c r="J26" s="60"/>
      <c r="K26" s="60"/>
      <c r="L26" s="60"/>
      <c r="M26" s="60"/>
    </row>
    <row r="27" spans="1:16" x14ac:dyDescent="0.2">
      <c r="A27" s="60"/>
      <c r="B27" s="60"/>
      <c r="C27" s="60"/>
      <c r="D27" s="60"/>
      <c r="E27" s="60"/>
      <c r="F27" s="60"/>
      <c r="G27" s="60"/>
      <c r="H27" s="60"/>
      <c r="I27" s="60"/>
      <c r="J27" s="60"/>
      <c r="K27" s="60"/>
      <c r="L27" s="60"/>
      <c r="M27" s="60"/>
    </row>
    <row r="28" spans="1:16" x14ac:dyDescent="0.2">
      <c r="A28" s="60"/>
      <c r="B28" s="60"/>
      <c r="C28" s="60"/>
      <c r="D28" s="60"/>
      <c r="E28" s="60"/>
      <c r="F28" s="60"/>
      <c r="G28" s="60"/>
      <c r="H28" s="60"/>
      <c r="I28" s="60"/>
      <c r="J28" s="60"/>
      <c r="K28" s="60"/>
      <c r="L28" s="60"/>
      <c r="M28" s="60"/>
    </row>
    <row r="29" spans="1:16" x14ac:dyDescent="0.2">
      <c r="A29" s="60"/>
      <c r="B29" s="60"/>
      <c r="C29" s="60"/>
      <c r="D29" s="60"/>
      <c r="E29" s="60"/>
      <c r="F29" s="60"/>
      <c r="G29" s="60"/>
      <c r="H29" s="60"/>
      <c r="I29" s="60"/>
      <c r="J29" s="60"/>
      <c r="K29" s="60"/>
      <c r="L29" s="60"/>
      <c r="M29" s="60"/>
    </row>
    <row r="30" spans="1:16" x14ac:dyDescent="0.2">
      <c r="A30" s="60"/>
      <c r="B30" s="60"/>
      <c r="C30" s="60"/>
      <c r="D30" s="60"/>
      <c r="E30" s="60"/>
      <c r="F30" s="60"/>
      <c r="G30" s="60"/>
      <c r="H30" s="60"/>
      <c r="I30" s="60"/>
      <c r="J30" s="60"/>
      <c r="K30" s="60"/>
      <c r="L30" s="60"/>
      <c r="M30" s="60"/>
    </row>
    <row r="31" spans="1:16" x14ac:dyDescent="0.2">
      <c r="A31" s="60"/>
      <c r="B31" s="60"/>
      <c r="C31" s="60"/>
      <c r="D31" s="60"/>
      <c r="E31" s="60"/>
      <c r="F31" s="60"/>
      <c r="G31" s="60"/>
      <c r="H31" s="60"/>
      <c r="I31" s="60"/>
      <c r="J31" s="60"/>
      <c r="K31" s="60"/>
      <c r="L31" s="60"/>
      <c r="M31" s="60"/>
    </row>
    <row r="32" spans="1:16" x14ac:dyDescent="0.2">
      <c r="A32" s="60"/>
      <c r="B32" s="60"/>
      <c r="C32" s="60"/>
      <c r="D32" s="60"/>
      <c r="E32" s="60"/>
      <c r="F32" s="60"/>
      <c r="G32" s="60"/>
      <c r="H32" s="60"/>
      <c r="I32" s="60"/>
      <c r="J32" s="60"/>
      <c r="K32" s="60"/>
      <c r="L32" s="60"/>
      <c r="M32" s="60"/>
    </row>
    <row r="33" spans="1:13" x14ac:dyDescent="0.2">
      <c r="A33" s="60"/>
      <c r="B33" s="60"/>
      <c r="C33" s="60"/>
      <c r="D33" s="60"/>
      <c r="E33" s="60"/>
      <c r="F33" s="60"/>
      <c r="G33" s="60"/>
      <c r="H33" s="60"/>
      <c r="I33" s="60"/>
      <c r="J33" s="60"/>
      <c r="K33" s="60"/>
      <c r="L33" s="60"/>
      <c r="M33" s="60"/>
    </row>
    <row r="34" spans="1:13" x14ac:dyDescent="0.2">
      <c r="A34" s="60"/>
      <c r="B34" s="60"/>
      <c r="C34" s="60"/>
      <c r="D34" s="60"/>
      <c r="E34" s="60"/>
      <c r="F34" s="60"/>
      <c r="G34" s="60"/>
      <c r="H34" s="60"/>
      <c r="I34" s="60"/>
      <c r="J34" s="60"/>
      <c r="K34" s="60"/>
      <c r="L34" s="60"/>
      <c r="M34" s="60"/>
    </row>
    <row r="35" spans="1:13" x14ac:dyDescent="0.2">
      <c r="A35" s="60"/>
      <c r="B35" s="60"/>
      <c r="C35" s="60"/>
      <c r="D35" s="60"/>
      <c r="E35" s="60"/>
      <c r="F35" s="60"/>
      <c r="G35" s="60"/>
      <c r="H35" s="60"/>
      <c r="I35" s="60"/>
      <c r="J35" s="60"/>
      <c r="K35" s="60"/>
      <c r="L35" s="60"/>
      <c r="M35" s="60"/>
    </row>
    <row r="36" spans="1:13" x14ac:dyDescent="0.2">
      <c r="A36" s="60"/>
      <c r="B36" s="60"/>
      <c r="C36" s="60"/>
      <c r="D36" s="60"/>
      <c r="E36" s="60"/>
      <c r="F36" s="60"/>
      <c r="G36" s="60"/>
      <c r="H36" s="60"/>
      <c r="I36" s="60"/>
      <c r="J36" s="60"/>
      <c r="K36" s="60"/>
      <c r="L36" s="60"/>
      <c r="M36" s="60"/>
    </row>
    <row r="37" spans="1:13" x14ac:dyDescent="0.2">
      <c r="A37" s="60"/>
      <c r="B37" s="60"/>
      <c r="C37" s="60"/>
      <c r="D37" s="60"/>
      <c r="E37" s="60"/>
      <c r="F37" s="60"/>
      <c r="G37" s="60"/>
      <c r="H37" s="60"/>
      <c r="I37" s="60"/>
      <c r="J37" s="60"/>
      <c r="K37" s="60"/>
      <c r="L37" s="60"/>
      <c r="M37" s="60"/>
    </row>
    <row r="38" spans="1:13" x14ac:dyDescent="0.2">
      <c r="A38" s="60"/>
      <c r="B38" s="60"/>
      <c r="C38" s="60"/>
      <c r="D38" s="60"/>
      <c r="E38" s="60"/>
      <c r="F38" s="60"/>
      <c r="G38" s="60"/>
      <c r="H38" s="60"/>
      <c r="I38" s="60"/>
      <c r="J38" s="60"/>
      <c r="K38" s="60"/>
      <c r="L38" s="60"/>
      <c r="M38" s="60"/>
    </row>
    <row r="39" spans="1:13" x14ac:dyDescent="0.2">
      <c r="A39" s="60"/>
      <c r="B39" s="60"/>
      <c r="C39" s="60"/>
      <c r="D39" s="60"/>
      <c r="E39" s="60"/>
      <c r="F39" s="60"/>
      <c r="G39" s="60"/>
      <c r="H39" s="60"/>
      <c r="I39" s="60"/>
      <c r="J39" s="60"/>
      <c r="K39" s="60"/>
      <c r="L39" s="60"/>
      <c r="M39" s="60"/>
    </row>
    <row r="40" spans="1:13" x14ac:dyDescent="0.2">
      <c r="A40" s="60"/>
      <c r="B40" s="60"/>
      <c r="C40" s="60"/>
      <c r="D40" s="60"/>
      <c r="E40" s="60"/>
      <c r="F40" s="60"/>
      <c r="G40" s="60"/>
      <c r="H40" s="60"/>
      <c r="I40" s="60"/>
      <c r="J40" s="60"/>
      <c r="K40" s="60"/>
      <c r="L40" s="60"/>
      <c r="M40" s="60"/>
    </row>
    <row r="41" spans="1:13" x14ac:dyDescent="0.2">
      <c r="A41" s="60"/>
      <c r="B41" s="60"/>
      <c r="C41" s="60"/>
      <c r="D41" s="60"/>
      <c r="E41" s="60"/>
      <c r="F41" s="60"/>
      <c r="G41" s="60"/>
      <c r="H41" s="60"/>
      <c r="I41" s="60"/>
      <c r="J41" s="60"/>
      <c r="K41" s="60"/>
      <c r="L41" s="60"/>
      <c r="M41" s="60"/>
    </row>
    <row r="42" spans="1:13" x14ac:dyDescent="0.2">
      <c r="A42" s="60"/>
      <c r="B42" s="60"/>
      <c r="C42" s="60"/>
      <c r="D42" s="60"/>
      <c r="E42" s="60"/>
      <c r="F42" s="60"/>
      <c r="G42" s="60"/>
      <c r="H42" s="60"/>
      <c r="I42" s="60"/>
      <c r="J42" s="60"/>
      <c r="K42" s="60"/>
      <c r="L42" s="60"/>
      <c r="M42" s="60"/>
    </row>
    <row r="43" spans="1:13" x14ac:dyDescent="0.2">
      <c r="A43" s="60"/>
      <c r="B43" s="60"/>
      <c r="C43" s="60"/>
      <c r="D43" s="60"/>
      <c r="E43" s="60"/>
      <c r="F43" s="60"/>
      <c r="G43" s="60"/>
      <c r="H43" s="60"/>
      <c r="I43" s="60"/>
      <c r="J43" s="60"/>
      <c r="K43" s="60"/>
      <c r="L43" s="60"/>
      <c r="M43" s="60"/>
    </row>
    <row r="44" spans="1:13" x14ac:dyDescent="0.2">
      <c r="A44" s="60"/>
      <c r="B44" s="60"/>
      <c r="C44" s="60"/>
      <c r="D44" s="60"/>
      <c r="E44" s="60"/>
      <c r="F44" s="60"/>
      <c r="G44" s="60"/>
      <c r="H44" s="60"/>
      <c r="I44" s="60"/>
      <c r="J44" s="60"/>
      <c r="K44" s="60"/>
      <c r="L44" s="60"/>
      <c r="M44" s="60"/>
    </row>
    <row r="45" spans="1:13" x14ac:dyDescent="0.2">
      <c r="A45" s="60"/>
      <c r="B45" s="60"/>
      <c r="C45" s="60"/>
      <c r="D45" s="60"/>
      <c r="E45" s="60"/>
      <c r="F45" s="60"/>
      <c r="G45" s="60"/>
      <c r="H45" s="60"/>
      <c r="I45" s="60"/>
      <c r="J45" s="60"/>
      <c r="K45" s="60"/>
      <c r="L45" s="60"/>
      <c r="M45" s="60"/>
    </row>
    <row r="46" spans="1:13" x14ac:dyDescent="0.2">
      <c r="A46" s="60"/>
      <c r="B46" s="60"/>
      <c r="C46" s="60"/>
      <c r="D46" s="60"/>
      <c r="E46" s="60"/>
      <c r="F46" s="60"/>
      <c r="G46" s="60"/>
      <c r="H46" s="60"/>
      <c r="I46" s="60"/>
      <c r="J46" s="60"/>
      <c r="K46" s="60"/>
      <c r="L46" s="60"/>
      <c r="M46" s="60"/>
    </row>
    <row r="47" spans="1:13" x14ac:dyDescent="0.2">
      <c r="A47" s="60"/>
      <c r="B47" s="60"/>
      <c r="C47" s="60"/>
      <c r="D47" s="60"/>
      <c r="E47" s="60"/>
      <c r="F47" s="60"/>
      <c r="G47" s="60"/>
      <c r="H47" s="60"/>
      <c r="I47" s="60"/>
      <c r="J47" s="60"/>
      <c r="K47" s="60"/>
      <c r="L47" s="60"/>
      <c r="M47" s="60"/>
    </row>
    <row r="48" spans="1:13" x14ac:dyDescent="0.2">
      <c r="A48" s="60"/>
      <c r="B48" s="60"/>
      <c r="C48" s="60"/>
      <c r="D48" s="60"/>
      <c r="E48" s="60"/>
      <c r="F48" s="60"/>
      <c r="G48" s="60"/>
      <c r="H48" s="60"/>
      <c r="I48" s="60"/>
      <c r="J48" s="60"/>
      <c r="K48" s="60"/>
      <c r="L48" s="60"/>
      <c r="M48" s="60"/>
    </row>
    <row r="49" spans="1:13" x14ac:dyDescent="0.2">
      <c r="A49" s="60"/>
      <c r="B49" s="60"/>
      <c r="C49" s="60"/>
      <c r="D49" s="60"/>
      <c r="E49" s="60"/>
      <c r="F49" s="60"/>
      <c r="G49" s="60"/>
      <c r="H49" s="60"/>
      <c r="I49" s="60"/>
      <c r="J49" s="60"/>
      <c r="K49" s="60"/>
      <c r="L49" s="60"/>
      <c r="M49" s="60"/>
    </row>
    <row r="50" spans="1:13" x14ac:dyDescent="0.2">
      <c r="A50" s="60"/>
      <c r="B50" s="60"/>
      <c r="C50" s="60"/>
      <c r="D50" s="60"/>
      <c r="E50" s="60"/>
      <c r="F50" s="60"/>
      <c r="G50" s="60"/>
      <c r="H50" s="60"/>
      <c r="I50" s="60"/>
      <c r="J50" s="60"/>
      <c r="K50" s="60"/>
      <c r="L50" s="60"/>
      <c r="M50" s="60"/>
    </row>
    <row r="51" spans="1:13" x14ac:dyDescent="0.2">
      <c r="A51" s="60"/>
      <c r="B51" s="60"/>
      <c r="C51" s="60"/>
      <c r="D51" s="60"/>
      <c r="E51" s="60"/>
      <c r="F51" s="60"/>
      <c r="G51" s="60"/>
      <c r="H51" s="60"/>
      <c r="I51" s="60"/>
      <c r="J51" s="60"/>
      <c r="K51" s="60"/>
      <c r="L51" s="60"/>
      <c r="M51" s="60"/>
    </row>
    <row r="52" spans="1:13" x14ac:dyDescent="0.2">
      <c r="A52" s="60"/>
      <c r="B52" s="60"/>
      <c r="C52" s="60"/>
      <c r="D52" s="60"/>
      <c r="E52" s="60"/>
      <c r="F52" s="60"/>
      <c r="G52" s="60"/>
      <c r="H52" s="60"/>
      <c r="I52" s="60"/>
      <c r="J52" s="60"/>
      <c r="K52" s="60"/>
      <c r="L52" s="60"/>
      <c r="M52" s="60"/>
    </row>
    <row r="53" spans="1:13" x14ac:dyDescent="0.2">
      <c r="A53" s="60"/>
      <c r="B53" s="60"/>
      <c r="C53" s="60"/>
      <c r="D53" s="60"/>
      <c r="E53" s="60"/>
      <c r="F53" s="60"/>
      <c r="G53" s="60"/>
      <c r="H53" s="60"/>
      <c r="I53" s="60"/>
      <c r="J53" s="60"/>
      <c r="K53" s="60"/>
      <c r="L53" s="60"/>
      <c r="M53" s="60"/>
    </row>
    <row r="54" spans="1:13" x14ac:dyDescent="0.2">
      <c r="A54" s="60"/>
      <c r="B54" s="60"/>
      <c r="C54" s="60"/>
      <c r="D54" s="60"/>
      <c r="E54" s="60"/>
      <c r="F54" s="60"/>
      <c r="G54" s="60"/>
      <c r="H54" s="60"/>
      <c r="I54" s="60"/>
      <c r="J54" s="60"/>
      <c r="K54" s="60"/>
      <c r="L54" s="60"/>
      <c r="M54" s="60"/>
    </row>
    <row r="55" spans="1:13" x14ac:dyDescent="0.2">
      <c r="A55" s="60"/>
      <c r="B55" s="60"/>
      <c r="C55" s="60"/>
      <c r="D55" s="60"/>
      <c r="E55" s="60"/>
      <c r="F55" s="60"/>
      <c r="G55" s="60"/>
      <c r="H55" s="60"/>
      <c r="I55" s="60"/>
      <c r="J55" s="60"/>
      <c r="K55" s="60"/>
      <c r="L55" s="60"/>
      <c r="M55" s="60"/>
    </row>
    <row r="56" spans="1:13" x14ac:dyDescent="0.2">
      <c r="A56" s="60"/>
      <c r="B56" s="60"/>
      <c r="C56" s="60"/>
      <c r="D56" s="60"/>
      <c r="E56" s="60"/>
      <c r="F56" s="60"/>
      <c r="G56" s="60"/>
      <c r="H56" s="60"/>
      <c r="I56" s="60"/>
      <c r="J56" s="60"/>
      <c r="K56" s="60"/>
      <c r="L56" s="60"/>
      <c r="M56" s="60"/>
    </row>
    <row r="57" spans="1:13" x14ac:dyDescent="0.2">
      <c r="A57" s="60"/>
      <c r="B57" s="60"/>
      <c r="C57" s="60"/>
      <c r="D57" s="60"/>
      <c r="E57" s="60"/>
      <c r="F57" s="60"/>
      <c r="G57" s="60"/>
      <c r="H57" s="60"/>
      <c r="I57" s="60"/>
      <c r="J57" s="60"/>
      <c r="K57" s="60"/>
      <c r="L57" s="60"/>
      <c r="M57" s="60"/>
    </row>
    <row r="58" spans="1:13" x14ac:dyDescent="0.2">
      <c r="A58" s="60"/>
      <c r="B58" s="60"/>
      <c r="C58" s="60"/>
      <c r="D58" s="60"/>
      <c r="E58" s="60"/>
      <c r="F58" s="60"/>
      <c r="G58" s="60"/>
      <c r="H58" s="60"/>
      <c r="I58" s="60"/>
      <c r="J58" s="60"/>
      <c r="K58" s="60"/>
      <c r="L58" s="60"/>
      <c r="M58" s="60"/>
    </row>
    <row r="59" spans="1:13" x14ac:dyDescent="0.2">
      <c r="A59" s="60"/>
      <c r="B59" s="60"/>
      <c r="C59" s="60"/>
      <c r="D59" s="60"/>
      <c r="E59" s="60"/>
      <c r="F59" s="60"/>
      <c r="G59" s="60"/>
      <c r="H59" s="60"/>
      <c r="I59" s="60"/>
      <c r="J59" s="60"/>
      <c r="K59" s="60"/>
      <c r="L59" s="60"/>
      <c r="M59" s="60"/>
    </row>
    <row r="60" spans="1:13" x14ac:dyDescent="0.2">
      <c r="A60" s="60"/>
      <c r="B60" s="60"/>
      <c r="C60" s="60"/>
      <c r="D60" s="60"/>
      <c r="E60" s="60"/>
      <c r="F60" s="60"/>
      <c r="G60" s="60"/>
      <c r="H60" s="60"/>
      <c r="I60" s="60"/>
      <c r="J60" s="60"/>
      <c r="K60" s="60"/>
      <c r="L60" s="60"/>
      <c r="M60" s="60"/>
    </row>
    <row r="61" spans="1:13" x14ac:dyDescent="0.2">
      <c r="A61" s="60"/>
      <c r="B61" s="60"/>
      <c r="C61" s="60"/>
      <c r="D61" s="60"/>
      <c r="E61" s="60"/>
      <c r="F61" s="60"/>
      <c r="G61" s="60"/>
      <c r="H61" s="60"/>
      <c r="I61" s="60"/>
      <c r="J61" s="60"/>
      <c r="K61" s="60"/>
      <c r="L61" s="60"/>
      <c r="M61" s="60"/>
    </row>
    <row r="62" spans="1:13" x14ac:dyDescent="0.2">
      <c r="A62" s="60"/>
      <c r="B62" s="60"/>
      <c r="C62" s="60"/>
      <c r="D62" s="60"/>
      <c r="E62" s="60"/>
      <c r="F62" s="60"/>
      <c r="G62" s="60"/>
      <c r="H62" s="60"/>
      <c r="I62" s="60"/>
      <c r="J62" s="60"/>
      <c r="K62" s="60"/>
      <c r="L62" s="60"/>
      <c r="M62" s="60"/>
    </row>
    <row r="63" spans="1:13" x14ac:dyDescent="0.2">
      <c r="A63" s="60"/>
      <c r="B63" s="60"/>
      <c r="C63" s="60"/>
      <c r="D63" s="60"/>
      <c r="E63" s="60"/>
      <c r="F63" s="60"/>
      <c r="G63" s="60"/>
      <c r="H63" s="60"/>
      <c r="I63" s="60"/>
      <c r="J63" s="60"/>
      <c r="K63" s="60"/>
      <c r="L63" s="60"/>
      <c r="M63" s="60"/>
    </row>
    <row r="64" spans="1:13" x14ac:dyDescent="0.2">
      <c r="A64" s="60"/>
      <c r="B64" s="60"/>
      <c r="C64" s="60"/>
      <c r="D64" s="60"/>
      <c r="E64" s="60"/>
      <c r="F64" s="60"/>
      <c r="G64" s="60"/>
      <c r="H64" s="60"/>
      <c r="I64" s="60"/>
      <c r="J64" s="60"/>
      <c r="K64" s="60"/>
      <c r="L64" s="60"/>
      <c r="M64" s="60"/>
    </row>
    <row r="65" spans="1:13" x14ac:dyDescent="0.2">
      <c r="A65" s="60"/>
      <c r="B65" s="60"/>
      <c r="C65" s="60"/>
      <c r="D65" s="60"/>
      <c r="E65" s="60"/>
      <c r="F65" s="60"/>
      <c r="G65" s="60"/>
      <c r="H65" s="60"/>
      <c r="I65" s="60"/>
      <c r="J65" s="60"/>
      <c r="K65" s="60"/>
      <c r="L65" s="60"/>
      <c r="M65" s="60"/>
    </row>
    <row r="66" spans="1:13" x14ac:dyDescent="0.2">
      <c r="A66" s="60"/>
      <c r="B66" s="60"/>
      <c r="C66" s="60"/>
      <c r="D66" s="60"/>
      <c r="E66" s="60"/>
      <c r="F66" s="60"/>
      <c r="G66" s="60"/>
      <c r="H66" s="60"/>
      <c r="I66" s="60"/>
      <c r="J66" s="60"/>
      <c r="K66" s="60"/>
      <c r="L66" s="60"/>
      <c r="M66" s="60"/>
    </row>
    <row r="67" spans="1:13" x14ac:dyDescent="0.2">
      <c r="A67" s="60"/>
      <c r="B67" s="60"/>
      <c r="C67" s="60"/>
      <c r="D67" s="60"/>
      <c r="E67" s="60"/>
      <c r="F67" s="60"/>
      <c r="G67" s="60"/>
      <c r="H67" s="60"/>
      <c r="I67" s="60"/>
      <c r="J67" s="60"/>
      <c r="K67" s="60"/>
      <c r="L67" s="60"/>
      <c r="M67" s="60"/>
    </row>
    <row r="68" spans="1:13" x14ac:dyDescent="0.2">
      <c r="A68" s="60"/>
      <c r="B68" s="60"/>
      <c r="C68" s="60"/>
      <c r="D68" s="60"/>
      <c r="E68" s="60"/>
      <c r="F68" s="60"/>
      <c r="G68" s="60"/>
      <c r="H68" s="60"/>
      <c r="I68" s="60"/>
      <c r="J68" s="60"/>
      <c r="K68" s="60"/>
      <c r="L68" s="60"/>
      <c r="M68" s="60"/>
    </row>
    <row r="69" spans="1:13" x14ac:dyDescent="0.2">
      <c r="A69" s="60"/>
      <c r="B69" s="60"/>
      <c r="C69" s="60"/>
      <c r="D69" s="60"/>
      <c r="E69" s="60"/>
      <c r="F69" s="60"/>
      <c r="G69" s="60"/>
      <c r="H69" s="60"/>
      <c r="I69" s="60"/>
      <c r="J69" s="60"/>
      <c r="K69" s="60"/>
      <c r="L69" s="60"/>
      <c r="M69" s="60"/>
    </row>
    <row r="70" spans="1:13" x14ac:dyDescent="0.2">
      <c r="A70" s="60"/>
      <c r="B70" s="60"/>
      <c r="C70" s="60"/>
      <c r="D70" s="60"/>
      <c r="E70" s="60"/>
      <c r="F70" s="60"/>
      <c r="G70" s="60"/>
      <c r="H70" s="60"/>
      <c r="I70" s="60"/>
      <c r="J70" s="60"/>
      <c r="K70" s="60"/>
      <c r="L70" s="60"/>
      <c r="M70" s="60"/>
    </row>
    <row r="71" spans="1:13" x14ac:dyDescent="0.2">
      <c r="A71" s="60"/>
      <c r="B71" s="60"/>
      <c r="C71" s="60"/>
      <c r="D71" s="60"/>
      <c r="E71" s="60"/>
      <c r="F71" s="60"/>
      <c r="G71" s="60"/>
      <c r="H71" s="60"/>
      <c r="I71" s="60"/>
      <c r="J71" s="60"/>
      <c r="K71" s="60"/>
      <c r="L71" s="60"/>
      <c r="M71" s="60"/>
    </row>
    <row r="72" spans="1:13" x14ac:dyDescent="0.2">
      <c r="A72" s="60"/>
      <c r="B72" s="60"/>
      <c r="C72" s="60"/>
      <c r="D72" s="60"/>
      <c r="E72" s="60"/>
      <c r="F72" s="60"/>
      <c r="G72" s="60"/>
      <c r="H72" s="60"/>
      <c r="I72" s="60"/>
      <c r="J72" s="60"/>
      <c r="K72" s="60"/>
      <c r="L72" s="60"/>
      <c r="M72" s="60"/>
    </row>
    <row r="73" spans="1:13" x14ac:dyDescent="0.2">
      <c r="A73" s="60"/>
      <c r="B73" s="60"/>
      <c r="C73" s="60"/>
      <c r="D73" s="60"/>
      <c r="E73" s="60"/>
      <c r="F73" s="60"/>
      <c r="G73" s="60"/>
      <c r="H73" s="60"/>
      <c r="I73" s="60"/>
      <c r="J73" s="60"/>
      <c r="K73" s="60"/>
      <c r="L73" s="60"/>
      <c r="M73" s="60"/>
    </row>
    <row r="74" spans="1:13" x14ac:dyDescent="0.2">
      <c r="A74" s="60"/>
      <c r="B74" s="60"/>
      <c r="C74" s="60"/>
      <c r="D74" s="60"/>
      <c r="E74" s="60"/>
      <c r="F74" s="60"/>
      <c r="G74" s="60"/>
      <c r="H74" s="60"/>
      <c r="I74" s="60"/>
      <c r="J74" s="60"/>
      <c r="K74" s="60"/>
      <c r="L74" s="60"/>
      <c r="M74" s="60"/>
    </row>
    <row r="75" spans="1:13" x14ac:dyDescent="0.2">
      <c r="A75" s="60"/>
      <c r="B75" s="60"/>
      <c r="C75" s="60"/>
      <c r="D75" s="60"/>
      <c r="E75" s="60"/>
      <c r="F75" s="60"/>
      <c r="G75" s="60"/>
      <c r="H75" s="60"/>
      <c r="I75" s="60"/>
      <c r="J75" s="60"/>
      <c r="K75" s="60"/>
      <c r="L75" s="60"/>
      <c r="M75" s="60"/>
    </row>
    <row r="76" spans="1:13" x14ac:dyDescent="0.2">
      <c r="A76" s="60"/>
      <c r="B76" s="60"/>
      <c r="C76" s="60"/>
      <c r="D76" s="60"/>
      <c r="E76" s="60"/>
      <c r="F76" s="60"/>
      <c r="G76" s="60"/>
      <c r="H76" s="60"/>
      <c r="I76" s="60"/>
      <c r="J76" s="60"/>
      <c r="K76" s="60"/>
      <c r="L76" s="60"/>
      <c r="M76" s="60"/>
    </row>
    <row r="77" spans="1:13" x14ac:dyDescent="0.2">
      <c r="A77" s="60"/>
      <c r="B77" s="60"/>
      <c r="C77" s="60"/>
      <c r="D77" s="60"/>
      <c r="E77" s="60"/>
      <c r="F77" s="60"/>
      <c r="G77" s="60"/>
      <c r="H77" s="60"/>
      <c r="I77" s="60"/>
      <c r="J77" s="60"/>
      <c r="K77" s="60"/>
      <c r="L77" s="60"/>
      <c r="M77" s="60"/>
    </row>
    <row r="78" spans="1:13" x14ac:dyDescent="0.2">
      <c r="A78" s="60"/>
      <c r="B78" s="60"/>
      <c r="C78" s="60"/>
      <c r="D78" s="60"/>
      <c r="E78" s="60"/>
      <c r="F78" s="60"/>
      <c r="G78" s="60"/>
      <c r="H78" s="60"/>
      <c r="I78" s="60"/>
      <c r="J78" s="60"/>
      <c r="K78" s="60"/>
      <c r="L78" s="60"/>
      <c r="M78" s="60"/>
    </row>
    <row r="79" spans="1:13" x14ac:dyDescent="0.2">
      <c r="A79" s="60"/>
      <c r="B79" s="60"/>
      <c r="C79" s="60"/>
      <c r="D79" s="60"/>
      <c r="E79" s="60"/>
      <c r="F79" s="60"/>
      <c r="G79" s="60"/>
      <c r="H79" s="60"/>
      <c r="I79" s="60"/>
      <c r="J79" s="60"/>
      <c r="K79" s="60"/>
      <c r="L79" s="60"/>
      <c r="M79" s="60"/>
    </row>
    <row r="80" spans="1:13" x14ac:dyDescent="0.2">
      <c r="A80" s="60"/>
      <c r="B80" s="60"/>
      <c r="C80" s="60"/>
      <c r="D80" s="60"/>
      <c r="E80" s="60"/>
      <c r="F80" s="60"/>
      <c r="G80" s="60"/>
      <c r="H80" s="60"/>
      <c r="I80" s="60"/>
      <c r="J80" s="60"/>
      <c r="K80" s="60"/>
      <c r="L80" s="60"/>
      <c r="M80" s="60"/>
    </row>
    <row r="81" spans="1:13" x14ac:dyDescent="0.2">
      <c r="A81" s="60"/>
      <c r="B81" s="60"/>
      <c r="C81" s="60"/>
      <c r="D81" s="60"/>
      <c r="E81" s="60"/>
      <c r="F81" s="60"/>
      <c r="G81" s="60"/>
      <c r="H81" s="60"/>
      <c r="I81" s="60"/>
      <c r="J81" s="60"/>
      <c r="K81" s="60"/>
      <c r="L81" s="60"/>
      <c r="M81" s="60"/>
    </row>
    <row r="82" spans="1:13" x14ac:dyDescent="0.2">
      <c r="A82" s="60"/>
      <c r="B82" s="60"/>
      <c r="C82" s="60"/>
      <c r="D82" s="60"/>
      <c r="E82" s="60"/>
      <c r="F82" s="60"/>
      <c r="G82" s="60"/>
      <c r="H82" s="60"/>
      <c r="I82" s="60"/>
      <c r="J82" s="60"/>
      <c r="K82" s="60"/>
      <c r="L82" s="60"/>
      <c r="M82" s="60"/>
    </row>
    <row r="83" spans="1:13" x14ac:dyDescent="0.2">
      <c r="A83" s="60"/>
      <c r="B83" s="60"/>
      <c r="C83" s="60"/>
      <c r="D83" s="60"/>
      <c r="E83" s="60"/>
      <c r="F83" s="60"/>
      <c r="G83" s="60"/>
      <c r="H83" s="60"/>
      <c r="I83" s="60"/>
      <c r="J83" s="60"/>
      <c r="K83" s="60"/>
      <c r="L83" s="60"/>
      <c r="M83" s="60"/>
    </row>
    <row r="84" spans="1:13" x14ac:dyDescent="0.2">
      <c r="A84" s="60"/>
      <c r="B84" s="60"/>
      <c r="C84" s="60"/>
      <c r="D84" s="60"/>
      <c r="E84" s="60"/>
      <c r="F84" s="60"/>
      <c r="G84" s="60"/>
      <c r="H84" s="60"/>
      <c r="I84" s="60"/>
      <c r="J84" s="60"/>
      <c r="K84" s="60"/>
      <c r="L84" s="60"/>
      <c r="M84" s="60"/>
    </row>
    <row r="85" spans="1:13" x14ac:dyDescent="0.2">
      <c r="A85" s="60"/>
      <c r="B85" s="60"/>
      <c r="C85" s="60"/>
      <c r="D85" s="60"/>
      <c r="E85" s="60"/>
      <c r="F85" s="60"/>
      <c r="G85" s="60"/>
      <c r="H85" s="60"/>
      <c r="I85" s="60"/>
      <c r="J85" s="60"/>
      <c r="K85" s="60"/>
      <c r="L85" s="60"/>
      <c r="M85" s="60"/>
    </row>
    <row r="86" spans="1:13" x14ac:dyDescent="0.2">
      <c r="A86" s="60"/>
      <c r="B86" s="60"/>
      <c r="C86" s="60"/>
      <c r="D86" s="60"/>
      <c r="E86" s="60"/>
      <c r="F86" s="60"/>
      <c r="G86" s="60"/>
      <c r="H86" s="60"/>
      <c r="I86" s="60"/>
      <c r="J86" s="60"/>
      <c r="K86" s="60"/>
      <c r="L86" s="60"/>
      <c r="M86" s="60"/>
    </row>
    <row r="87" spans="1:13" x14ac:dyDescent="0.2">
      <c r="A87" s="60"/>
      <c r="B87" s="60"/>
      <c r="C87" s="60"/>
      <c r="D87" s="60"/>
      <c r="E87" s="60"/>
      <c r="F87" s="60"/>
      <c r="G87" s="60"/>
      <c r="H87" s="60"/>
      <c r="I87" s="60"/>
      <c r="J87" s="60"/>
      <c r="K87" s="60"/>
      <c r="L87" s="60"/>
      <c r="M87" s="60"/>
    </row>
    <row r="88" spans="1:13" x14ac:dyDescent="0.2">
      <c r="A88" s="60"/>
      <c r="B88" s="60"/>
      <c r="C88" s="60"/>
      <c r="D88" s="60"/>
      <c r="E88" s="60"/>
      <c r="F88" s="60"/>
      <c r="G88" s="60"/>
      <c r="H88" s="60"/>
      <c r="I88" s="60"/>
      <c r="J88" s="60"/>
      <c r="K88" s="60"/>
      <c r="L88" s="60"/>
      <c r="M88" s="60"/>
    </row>
    <row r="89" spans="1:13" x14ac:dyDescent="0.2">
      <c r="A89" s="60"/>
      <c r="B89" s="60"/>
      <c r="C89" s="60"/>
      <c r="D89" s="60"/>
      <c r="E89" s="60"/>
      <c r="F89" s="60"/>
      <c r="G89" s="60"/>
      <c r="H89" s="60"/>
      <c r="I89" s="60"/>
      <c r="J89" s="60"/>
      <c r="K89" s="60"/>
      <c r="L89" s="60"/>
      <c r="M89" s="60"/>
    </row>
    <row r="90" spans="1:13" x14ac:dyDescent="0.2">
      <c r="A90" s="60"/>
      <c r="B90" s="60"/>
      <c r="C90" s="60"/>
      <c r="D90" s="60"/>
      <c r="E90" s="60"/>
      <c r="F90" s="60"/>
      <c r="G90" s="60"/>
      <c r="H90" s="60"/>
      <c r="I90" s="60"/>
      <c r="J90" s="60"/>
      <c r="K90" s="60"/>
      <c r="L90" s="60"/>
      <c r="M90" s="60"/>
    </row>
    <row r="91" spans="1:13" x14ac:dyDescent="0.2">
      <c r="A91" s="60"/>
      <c r="B91" s="60"/>
      <c r="C91" s="60"/>
      <c r="D91" s="60"/>
      <c r="E91" s="60"/>
      <c r="F91" s="60"/>
      <c r="G91" s="60"/>
      <c r="H91" s="60"/>
      <c r="I91" s="60"/>
      <c r="J91" s="60"/>
      <c r="K91" s="60"/>
      <c r="L91" s="60"/>
      <c r="M91" s="60"/>
    </row>
    <row r="92" spans="1:13" x14ac:dyDescent="0.2">
      <c r="A92" s="60"/>
      <c r="B92" s="60"/>
      <c r="C92" s="60"/>
      <c r="D92" s="60"/>
      <c r="E92" s="60"/>
      <c r="F92" s="60"/>
      <c r="G92" s="60"/>
      <c r="H92" s="60"/>
      <c r="I92" s="60"/>
      <c r="J92" s="60"/>
      <c r="K92" s="60"/>
      <c r="L92" s="60"/>
      <c r="M92" s="60"/>
    </row>
    <row r="93" spans="1:13" x14ac:dyDescent="0.2">
      <c r="A93" s="60"/>
      <c r="B93" s="60"/>
      <c r="C93" s="60"/>
      <c r="D93" s="60"/>
      <c r="E93" s="60"/>
      <c r="F93" s="60"/>
      <c r="G93" s="60"/>
      <c r="H93" s="60"/>
      <c r="I93" s="60"/>
      <c r="J93" s="60"/>
      <c r="K93" s="60"/>
      <c r="L93" s="60"/>
      <c r="M93" s="60"/>
    </row>
    <row r="94" spans="1:13" x14ac:dyDescent="0.2">
      <c r="A94" s="60"/>
      <c r="B94" s="60"/>
      <c r="C94" s="60"/>
      <c r="D94" s="60"/>
      <c r="E94" s="60"/>
      <c r="F94" s="60"/>
      <c r="G94" s="60"/>
      <c r="H94" s="60"/>
      <c r="I94" s="60"/>
      <c r="J94" s="60"/>
      <c r="K94" s="60"/>
      <c r="L94" s="60"/>
      <c r="M94" s="60"/>
    </row>
    <row r="95" spans="1:13" x14ac:dyDescent="0.2">
      <c r="A95" s="60"/>
      <c r="B95" s="60"/>
      <c r="C95" s="60"/>
      <c r="D95" s="60"/>
      <c r="E95" s="60"/>
      <c r="F95" s="60"/>
      <c r="G95" s="60"/>
      <c r="H95" s="60"/>
      <c r="I95" s="60"/>
      <c r="J95" s="60"/>
      <c r="K95" s="60"/>
      <c r="L95" s="60"/>
      <c r="M95" s="60"/>
    </row>
    <row r="96" spans="1:13" x14ac:dyDescent="0.2">
      <c r="A96" s="60"/>
      <c r="B96" s="60"/>
      <c r="C96" s="60"/>
      <c r="D96" s="60"/>
      <c r="E96" s="60"/>
      <c r="F96" s="60"/>
      <c r="G96" s="60"/>
      <c r="H96" s="60"/>
      <c r="I96" s="60"/>
      <c r="J96" s="60"/>
      <c r="K96" s="60"/>
      <c r="L96" s="60"/>
      <c r="M96" s="60"/>
    </row>
    <row r="97" spans="1:13" x14ac:dyDescent="0.2">
      <c r="A97" s="60"/>
      <c r="B97" s="60"/>
      <c r="C97" s="60"/>
      <c r="D97" s="60"/>
      <c r="E97" s="60"/>
      <c r="F97" s="60"/>
      <c r="G97" s="60"/>
      <c r="H97" s="60"/>
      <c r="I97" s="60"/>
      <c r="J97" s="60"/>
      <c r="K97" s="60"/>
      <c r="L97" s="60"/>
      <c r="M97" s="60"/>
    </row>
    <row r="98" spans="1:13" x14ac:dyDescent="0.2">
      <c r="A98" s="60"/>
      <c r="B98" s="60"/>
      <c r="C98" s="60"/>
      <c r="D98" s="60"/>
      <c r="E98" s="60"/>
      <c r="F98" s="60"/>
      <c r="G98" s="60"/>
      <c r="H98" s="60"/>
      <c r="I98" s="60"/>
      <c r="J98" s="60"/>
      <c r="K98" s="60"/>
      <c r="L98" s="60"/>
      <c r="M98" s="60"/>
    </row>
    <row r="99" spans="1:13" x14ac:dyDescent="0.2">
      <c r="A99" s="60"/>
      <c r="B99" s="60"/>
      <c r="C99" s="60"/>
      <c r="D99" s="60"/>
      <c r="E99" s="60"/>
      <c r="F99" s="60"/>
      <c r="G99" s="60"/>
      <c r="H99" s="60"/>
      <c r="I99" s="60"/>
      <c r="J99" s="60"/>
      <c r="K99" s="60"/>
      <c r="L99" s="60"/>
      <c r="M99" s="60"/>
    </row>
    <row r="100" spans="1:13" x14ac:dyDescent="0.2">
      <c r="A100" s="60"/>
      <c r="B100" s="60"/>
      <c r="C100" s="60"/>
      <c r="D100" s="60"/>
      <c r="E100" s="60"/>
      <c r="F100" s="60"/>
      <c r="G100" s="60"/>
      <c r="H100" s="60"/>
      <c r="I100" s="60"/>
      <c r="J100" s="60"/>
      <c r="K100" s="60"/>
      <c r="L100" s="60"/>
      <c r="M100" s="60"/>
    </row>
    <row r="101" spans="1:13" x14ac:dyDescent="0.2">
      <c r="A101" s="60"/>
      <c r="B101" s="60"/>
      <c r="C101" s="60"/>
      <c r="D101" s="60"/>
      <c r="E101" s="60"/>
      <c r="F101" s="60"/>
      <c r="G101" s="60"/>
      <c r="H101" s="60"/>
      <c r="I101" s="60"/>
      <c r="J101" s="60"/>
      <c r="K101" s="60"/>
      <c r="L101" s="60"/>
      <c r="M101" s="60"/>
    </row>
    <row r="102" spans="1:13" x14ac:dyDescent="0.2">
      <c r="A102" s="60"/>
      <c r="B102" s="60"/>
      <c r="C102" s="60"/>
      <c r="D102" s="60"/>
      <c r="E102" s="60"/>
      <c r="F102" s="60"/>
      <c r="G102" s="60"/>
      <c r="H102" s="60"/>
      <c r="I102" s="60"/>
      <c r="J102" s="60"/>
      <c r="K102" s="60"/>
      <c r="L102" s="60"/>
      <c r="M102" s="60"/>
    </row>
  </sheetData>
  <pageMargins left="0.5" right="0.5" top="0.75" bottom="0.75" header="0.5" footer="0.5"/>
  <pageSetup scale="85" orientation="landscape" r:id="rId1"/>
  <headerFooter alignWithMargins="0"/>
  <colBreaks count="1" manualBreakCount="1">
    <brk id="14"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121"/>
  <sheetViews>
    <sheetView showGridLines="0" zoomScaleNormal="100" workbookViewId="0">
      <selection activeCell="E37" sqref="E37"/>
    </sheetView>
  </sheetViews>
  <sheetFormatPr defaultRowHeight="12.75" x14ac:dyDescent="0.2"/>
  <cols>
    <col min="3" max="3" width="13.28515625" customWidth="1"/>
    <col min="4" max="5" width="11.5703125" customWidth="1"/>
    <col min="6" max="6" width="12.28515625" customWidth="1"/>
    <col min="7" max="7" width="9.7109375" customWidth="1"/>
    <col min="8" max="8" width="9.42578125" customWidth="1"/>
    <col min="9" max="9" width="9.28515625" customWidth="1"/>
    <col min="10" max="10" width="10" customWidth="1"/>
    <col min="11" max="11" width="9.7109375" customWidth="1"/>
    <col min="12" max="12" width="10.42578125" customWidth="1"/>
  </cols>
  <sheetData>
    <row r="1" spans="1:13" x14ac:dyDescent="0.2">
      <c r="A1" s="52" t="str">
        <f>"Commodity Pricing:  "&amp;TEXT(A7,"mmm-yy")&amp;" - "&amp;TEXT(A18,"mmm-yy")</f>
        <v>Commodity Pricing:  May-13 - Apr-14</v>
      </c>
      <c r="B1" s="53"/>
    </row>
    <row r="2" spans="1:13" ht="13.5" customHeight="1" x14ac:dyDescent="0.2">
      <c r="A2" s="54" t="str">
        <f>[36]WUTC_KENT_MF!A1</f>
        <v>Kent-Meridian Disposal</v>
      </c>
      <c r="B2" s="54"/>
    </row>
    <row r="3" spans="1:13" ht="13.5" customHeight="1" x14ac:dyDescent="0.2">
      <c r="A3" s="54"/>
      <c r="B3" s="54"/>
    </row>
    <row r="4" spans="1:13" x14ac:dyDescent="0.2">
      <c r="B4" s="64"/>
      <c r="C4" s="56" t="s">
        <v>21</v>
      </c>
      <c r="D4" s="56" t="s">
        <v>22</v>
      </c>
      <c r="E4" s="56" t="s">
        <v>55</v>
      </c>
      <c r="F4" s="56" t="s">
        <v>23</v>
      </c>
      <c r="G4" s="56" t="s">
        <v>24</v>
      </c>
      <c r="H4" s="56" t="s">
        <v>25</v>
      </c>
      <c r="I4" s="56" t="s">
        <v>26</v>
      </c>
      <c r="J4" s="56" t="s">
        <v>27</v>
      </c>
      <c r="K4" s="56" t="s">
        <v>28</v>
      </c>
      <c r="L4" s="56" t="s">
        <v>29</v>
      </c>
      <c r="M4" s="56"/>
    </row>
    <row r="5" spans="1:13" x14ac:dyDescent="0.2">
      <c r="B5" s="64"/>
      <c r="C5" s="107">
        <v>69</v>
      </c>
      <c r="D5" s="107">
        <v>71</v>
      </c>
      <c r="E5" s="107">
        <v>72</v>
      </c>
      <c r="F5" s="107">
        <v>67</v>
      </c>
      <c r="G5" s="107">
        <v>64</v>
      </c>
      <c r="H5" s="107">
        <v>74</v>
      </c>
      <c r="I5" s="107">
        <v>68</v>
      </c>
      <c r="J5" s="107">
        <v>68</v>
      </c>
      <c r="K5" s="107">
        <v>65</v>
      </c>
      <c r="L5" s="107">
        <v>73</v>
      </c>
      <c r="M5" s="64"/>
    </row>
    <row r="6" spans="1:13" x14ac:dyDescent="0.2">
      <c r="B6" s="64"/>
      <c r="C6" s="64"/>
      <c r="D6" s="64"/>
      <c r="E6" s="64"/>
      <c r="F6" s="64"/>
      <c r="G6" s="64"/>
      <c r="H6" s="64"/>
      <c r="I6" s="64"/>
      <c r="J6" s="64"/>
      <c r="K6" s="64"/>
      <c r="L6" s="64"/>
      <c r="M6" s="64"/>
    </row>
    <row r="7" spans="1:13" x14ac:dyDescent="0.2">
      <c r="A7" s="59">
        <f>+'[36]Commodity Tonnages'!A7</f>
        <v>41425</v>
      </c>
      <c r="B7" s="64"/>
      <c r="C7" s="65">
        <f>HLOOKUP($A7,[36]Multi_Family!$C$6:$N$79,C$5,FALSE)</f>
        <v>1078.0139999999999</v>
      </c>
      <c r="D7" s="69">
        <f>HLOOKUP($A7,[36]Multi_Family!$C$6:$N$79,D$5,FALSE)</f>
        <v>-15.18</v>
      </c>
      <c r="E7" s="69">
        <f>HLOOKUP($A7,[36]Multi_Family!$C$6:$N$79,E$5,FALSE)</f>
        <v>-120.17</v>
      </c>
      <c r="F7" s="65">
        <f>HLOOKUP($A7,[36]Multi_Family!$C$6:$N$79,F$5,FALSE)</f>
        <v>80.184999999999988</v>
      </c>
      <c r="G7" s="65">
        <f>HLOOKUP($A7,[36]Multi_Family!$C$6:$N$79,G$5,FALSE)</f>
        <v>75.095999999999989</v>
      </c>
      <c r="H7" s="65">
        <f>HLOOKUP($A7,[36]Multi_Family!$C$6:$N$79,H$5,FALSE)</f>
        <v>70.069999999999993</v>
      </c>
      <c r="I7" s="65">
        <f>HLOOKUP($A7,[36]Multi_Family!$C$6:$N$79,I$5,FALSE)</f>
        <v>189.09099999999998</v>
      </c>
      <c r="J7" s="65">
        <f>HLOOKUP($A7,[36]Multi_Family!$C$6:$N$79,J$5,FALSE)</f>
        <v>189.09099999999998</v>
      </c>
      <c r="K7" s="65">
        <f>HLOOKUP($A7,[36]Multi_Family!$C$6:$N$79,K$5,FALSE)</f>
        <v>99.538013913363088</v>
      </c>
      <c r="L7" s="69">
        <f>HLOOKUP($A7,[36]Multi_Family!$C$6:$N$79,L$5,FALSE)</f>
        <v>-120.17</v>
      </c>
      <c r="M7" s="64"/>
    </row>
    <row r="8" spans="1:13" x14ac:dyDescent="0.2">
      <c r="A8" s="59">
        <f>+'[36]Commodity Tonnages'!A8</f>
        <v>41455</v>
      </c>
      <c r="B8" s="64"/>
      <c r="C8" s="65">
        <f>HLOOKUP($A8,[36]Multi_Family!$C$6:$N$79,C$5,FALSE)</f>
        <v>1048.7190000000001</v>
      </c>
      <c r="D8" s="69">
        <f>HLOOKUP($A8,[36]Multi_Family!$C$6:$N$79,D$5,FALSE)</f>
        <v>-6.98</v>
      </c>
      <c r="E8" s="69">
        <f>HLOOKUP($A8,[36]Multi_Family!$C$6:$N$79,E$5,FALSE)</f>
        <v>-120.17</v>
      </c>
      <c r="F8" s="65">
        <f>HLOOKUP($A8,[36]Multi_Family!$C$6:$N$79,F$5,FALSE)</f>
        <v>74.192999999999998</v>
      </c>
      <c r="G8" s="65">
        <f>HLOOKUP($A8,[36]Multi_Family!$C$6:$N$79,G$5,FALSE)</f>
        <v>73.835999999999999</v>
      </c>
      <c r="H8" s="65">
        <f>HLOOKUP($A8,[36]Multi_Family!$C$6:$N$79,H$5,FALSE)</f>
        <v>68.361999999999995</v>
      </c>
      <c r="I8" s="65">
        <f>HLOOKUP($A8,[36]Multi_Family!$C$6:$N$79,I$5,FALSE)</f>
        <v>190.60999999999999</v>
      </c>
      <c r="J8" s="65">
        <f>HLOOKUP($A8,[36]Multi_Family!$C$6:$N$79,J$5,FALSE)</f>
        <v>190.60999999999999</v>
      </c>
      <c r="K8" s="65">
        <f>HLOOKUP($A8,[36]Multi_Family!$C$6:$N$79,K$5,FALSE)</f>
        <v>95.647999999999982</v>
      </c>
      <c r="L8" s="69">
        <f>HLOOKUP($A8,[36]Multi_Family!$C$6:$N$79,L$5,FALSE)</f>
        <v>-120.17</v>
      </c>
      <c r="M8" s="64"/>
    </row>
    <row r="9" spans="1:13" x14ac:dyDescent="0.2">
      <c r="A9" s="59">
        <f>+'[36]Commodity Tonnages'!A9</f>
        <v>41486</v>
      </c>
      <c r="B9" s="60"/>
      <c r="C9" s="65">
        <f>HLOOKUP($A9,[36]Multi_Family!$C$6:$N$79,C$5,FALSE)</f>
        <v>1082.5429999999999</v>
      </c>
      <c r="D9" s="69">
        <f>HLOOKUP($A9,[36]Multi_Family!$C$6:$N$79,D$5,FALSE)</f>
        <v>-7.6</v>
      </c>
      <c r="E9" s="69">
        <f>HLOOKUP($A9,[36]Multi_Family!$C$6:$N$79,E$5,FALSE)</f>
        <v>-120.17</v>
      </c>
      <c r="F9" s="65">
        <f>HLOOKUP($A9,[36]Multi_Family!$C$6:$N$79,F$5,FALSE)</f>
        <v>73.751999999999995</v>
      </c>
      <c r="G9" s="65">
        <f>HLOOKUP($A9,[36]Multi_Family!$C$6:$N$79,G$5,FALSE)</f>
        <v>74.444999999999993</v>
      </c>
      <c r="H9" s="65">
        <f>HLOOKUP($A9,[36]Multi_Family!$C$6:$N$79,H$5,FALSE)</f>
        <v>68.417999999999992</v>
      </c>
      <c r="I9" s="65">
        <f>HLOOKUP($A9,[36]Multi_Family!$C$6:$N$79,I$5,FALSE)</f>
        <v>213.80799999999999</v>
      </c>
      <c r="J9" s="65">
        <f>HLOOKUP($A9,[36]Multi_Family!$C$6:$N$79,J$5,FALSE)</f>
        <v>213.80799999999999</v>
      </c>
      <c r="K9" s="65">
        <f>HLOOKUP($A9,[36]Multi_Family!$C$6:$N$79,K$5,FALSE)</f>
        <v>101.63999999999999</v>
      </c>
      <c r="L9" s="69">
        <f>HLOOKUP($A9,[36]Multi_Family!$C$6:$N$79,L$5,FALSE)</f>
        <v>-120.17</v>
      </c>
      <c r="M9" s="61"/>
    </row>
    <row r="10" spans="1:13" x14ac:dyDescent="0.2">
      <c r="A10" s="59">
        <f>+'[36]Commodity Tonnages'!A10</f>
        <v>41517</v>
      </c>
      <c r="B10" s="60"/>
      <c r="C10" s="65">
        <f>HLOOKUP($A10,[36]Multi_Family!$C$6:$N$79,C$5,FALSE)</f>
        <v>1138.1859999999999</v>
      </c>
      <c r="D10" s="69">
        <f>HLOOKUP($A10,[36]Multi_Family!$C$6:$N$79,D$5,FALSE)</f>
        <v>-8.7100000000000009</v>
      </c>
      <c r="E10" s="69">
        <f>HLOOKUP($A10,[36]Multi_Family!$C$6:$N$79,E$5,FALSE)</f>
        <v>-120.17</v>
      </c>
      <c r="F10" s="65">
        <f>HLOOKUP($A10,[36]Multi_Family!$C$6:$N$79,F$5,FALSE)</f>
        <v>73.254999999999995</v>
      </c>
      <c r="G10" s="65">
        <f>HLOOKUP($A10,[36]Multi_Family!$C$6:$N$79,G$5,FALSE)</f>
        <v>73.695999999999998</v>
      </c>
      <c r="H10" s="65">
        <f>HLOOKUP($A10,[36]Multi_Family!$C$6:$N$79,H$5,FALSE)</f>
        <v>68.018999999999991</v>
      </c>
      <c r="I10" s="65">
        <f>HLOOKUP($A10,[36]Multi_Family!$C$6:$N$79,I$5,FALSE)</f>
        <v>216.37</v>
      </c>
      <c r="J10" s="65">
        <f>HLOOKUP($A10,[36]Multi_Family!$C$6:$N$79,J$5,FALSE)</f>
        <v>216.37</v>
      </c>
      <c r="K10" s="65">
        <f>HLOOKUP($A10,[36]Multi_Family!$C$6:$N$79,K$5,FALSE)</f>
        <v>98.993999999999986</v>
      </c>
      <c r="L10" s="69">
        <f>HLOOKUP($A10,[36]Multi_Family!$C$6:$N$79,L$5,FALSE)</f>
        <v>-120.17</v>
      </c>
      <c r="M10" s="61"/>
    </row>
    <row r="11" spans="1:13" x14ac:dyDescent="0.2">
      <c r="A11" s="59">
        <f>+'[36]Commodity Tonnages'!A11</f>
        <v>41547</v>
      </c>
      <c r="B11" s="60"/>
      <c r="C11" s="65">
        <f>HLOOKUP($A11,[36]Multi_Family!$C$6:$N$79,C$5,FALSE)</f>
        <v>1150.8559999999998</v>
      </c>
      <c r="D11" s="69">
        <f>HLOOKUP($A11,[36]Multi_Family!$C$6:$N$79,D$5,FALSE)</f>
        <v>2.6</v>
      </c>
      <c r="E11" s="69">
        <f>HLOOKUP($A11,[36]Multi_Family!$C$6:$N$79,E$5,FALSE)</f>
        <v>-120.17</v>
      </c>
      <c r="F11" s="65">
        <f>HLOOKUP($A11,[36]Multi_Family!$C$6:$N$79,F$5,FALSE)</f>
        <v>76.705999999999989</v>
      </c>
      <c r="G11" s="65">
        <f>HLOOKUP($A11,[36]Multi_Family!$C$6:$N$79,G$5,FALSE)</f>
        <v>67.003999999999991</v>
      </c>
      <c r="H11" s="65">
        <f>HLOOKUP($A11,[36]Multi_Family!$C$6:$N$79,H$5,FALSE)</f>
        <v>62.811</v>
      </c>
      <c r="I11" s="65">
        <f>HLOOKUP($A11,[36]Multi_Family!$C$6:$N$79,I$5,FALSE)</f>
        <v>238.16799999999998</v>
      </c>
      <c r="J11" s="65">
        <f>HLOOKUP($A11,[36]Multi_Family!$C$6:$N$79,J$5,FALSE)</f>
        <v>238.16799999999998</v>
      </c>
      <c r="K11" s="65">
        <f>HLOOKUP($A11,[36]Multi_Family!$C$6:$N$79,K$5,FALSE)</f>
        <v>91.475999999999999</v>
      </c>
      <c r="L11" s="69">
        <f>HLOOKUP($A11,[36]Multi_Family!$C$6:$N$79,L$5,FALSE)</f>
        <v>-120.17</v>
      </c>
      <c r="M11" s="61"/>
    </row>
    <row r="12" spans="1:13" x14ac:dyDescent="0.2">
      <c r="A12" s="59">
        <f>+'[36]Commodity Tonnages'!A12</f>
        <v>41578</v>
      </c>
      <c r="B12" s="60"/>
      <c r="C12" s="65">
        <f>HLOOKUP($A12,[36]Multi_Family!$C$6:$N$79,C$5,FALSE)</f>
        <v>1124.4870000000001</v>
      </c>
      <c r="D12" s="69">
        <f>HLOOKUP($A12,[36]Multi_Family!$C$6:$N$79,D$5,FALSE)</f>
        <v>0.99399999999999988</v>
      </c>
      <c r="E12" s="69">
        <f>HLOOKUP($A12,[36]Multi_Family!$C$6:$N$79,E$5,FALSE)</f>
        <v>-120.17</v>
      </c>
      <c r="F12" s="65">
        <f>HLOOKUP($A12,[36]Multi_Family!$C$6:$N$79,F$5,FALSE)</f>
        <v>61.949999999999996</v>
      </c>
      <c r="G12" s="65">
        <f>HLOOKUP($A12,[36]Multi_Family!$C$6:$N$79,G$5,FALSE)</f>
        <v>68.453000000000003</v>
      </c>
      <c r="H12" s="65">
        <f>HLOOKUP($A12,[36]Multi_Family!$C$6:$N$79,H$5,FALSE)</f>
        <v>60.717999999999989</v>
      </c>
      <c r="I12" s="65">
        <f>HLOOKUP($A12,[36]Multi_Family!$C$6:$N$79,I$5,FALSE)</f>
        <v>230.12499999999997</v>
      </c>
      <c r="J12" s="65">
        <f>HLOOKUP($A12,[36]Multi_Family!$C$6:$N$79,J$5,FALSE)</f>
        <v>230.12499999999997</v>
      </c>
      <c r="K12" s="65">
        <f>HLOOKUP($A12,[36]Multi_Family!$C$6:$N$79,K$5,FALSE)</f>
        <v>95.332999999999998</v>
      </c>
      <c r="L12" s="69">
        <f>HLOOKUP($A12,[36]Multi_Family!$C$6:$N$79,L$5,FALSE)</f>
        <v>-120.17</v>
      </c>
      <c r="M12" s="61"/>
    </row>
    <row r="13" spans="1:13" x14ac:dyDescent="0.2">
      <c r="A13" s="59">
        <f>+'[36]Commodity Tonnages'!A13</f>
        <v>41608</v>
      </c>
      <c r="B13" s="60"/>
      <c r="C13" s="65">
        <f>HLOOKUP($A13,[36]Multi_Family!$C$6:$N$79,C$5,FALSE)</f>
        <v>1232</v>
      </c>
      <c r="D13" s="69">
        <f>HLOOKUP($A13,[36]Multi_Family!$C$6:$N$79,D$5,FALSE)</f>
        <v>-2.9539999999999997</v>
      </c>
      <c r="E13" s="69">
        <f>HLOOKUP($A13,[36]Multi_Family!$C$6:$N$79,E$5,FALSE)</f>
        <v>-120.17</v>
      </c>
      <c r="F13" s="65">
        <f>HLOOKUP($A13,[36]Multi_Family!$C$6:$N$79,F$5,FALSE)</f>
        <v>52.856999999999999</v>
      </c>
      <c r="G13" s="65">
        <f>HLOOKUP($A13,[36]Multi_Family!$C$6:$N$79,G$5,FALSE)</f>
        <v>63.755999999999993</v>
      </c>
      <c r="H13" s="65">
        <f>HLOOKUP($A13,[36]Multi_Family!$C$6:$N$79,H$5,FALSE)</f>
        <v>56.370999999999995</v>
      </c>
      <c r="I13" s="65">
        <f>HLOOKUP($A13,[36]Multi_Family!$C$6:$N$79,I$5,FALSE)</f>
        <v>209.37700000000001</v>
      </c>
      <c r="J13" s="65">
        <f>HLOOKUP($A13,[36]Multi_Family!$C$6:$N$79,J$5,FALSE)</f>
        <v>209.37700000000001</v>
      </c>
      <c r="K13" s="65">
        <f>HLOOKUP($A13,[36]Multi_Family!$C$6:$N$79,K$5,FALSE)</f>
        <v>93.1</v>
      </c>
      <c r="L13" s="69">
        <f>HLOOKUP($A13,[36]Multi_Family!$C$6:$N$79,L$5,FALSE)</f>
        <v>-120.17</v>
      </c>
      <c r="M13" s="61"/>
    </row>
    <row r="14" spans="1:13" x14ac:dyDescent="0.2">
      <c r="A14" s="59">
        <f>+'[36]Commodity Tonnages'!A14</f>
        <v>41639</v>
      </c>
      <c r="B14" s="60"/>
      <c r="C14" s="65">
        <f>HLOOKUP($A14,[36]Multi_Family!$C$6:$N$79,C$5,FALSE)</f>
        <v>1190</v>
      </c>
      <c r="D14" s="69">
        <f>HLOOKUP($A14,[36]Multi_Family!$C$6:$N$79,D$5,FALSE)</f>
        <v>-4.7669999999999995</v>
      </c>
      <c r="E14" s="69">
        <f>HLOOKUP($A14,[36]Multi_Family!$C$6:$N$79,E$5,FALSE)</f>
        <v>-120.17</v>
      </c>
      <c r="F14" s="65">
        <f>HLOOKUP($A14,[36]Multi_Family!$C$6:$N$79,F$5,FALSE)</f>
        <v>53.297999999999995</v>
      </c>
      <c r="G14" s="65">
        <f>HLOOKUP($A14,[36]Multi_Family!$C$6:$N$79,G$5,FALSE)</f>
        <v>60.780999999999992</v>
      </c>
      <c r="H14" s="65">
        <f>HLOOKUP($A14,[36]Multi_Family!$C$6:$N$79,H$5,FALSE)</f>
        <v>53.717999999999996</v>
      </c>
      <c r="I14" s="65">
        <f>HLOOKUP($A14,[36]Multi_Family!$C$6:$N$79,I$5,FALSE)</f>
        <v>171.57</v>
      </c>
      <c r="J14" s="65">
        <f>HLOOKUP($A14,[36]Multi_Family!$C$6:$N$79,J$5,FALSE)</f>
        <v>171.57</v>
      </c>
      <c r="K14" s="65">
        <f>HLOOKUP($A14,[36]Multi_Family!$C$6:$N$79,K$5,FALSE)</f>
        <v>88.647999999999996</v>
      </c>
      <c r="L14" s="69">
        <f>HLOOKUP($A14,[36]Multi_Family!$C$6:$N$79,L$5,FALSE)</f>
        <v>-120.17</v>
      </c>
      <c r="M14" s="61"/>
    </row>
    <row r="15" spans="1:13" x14ac:dyDescent="0.2">
      <c r="A15" s="59">
        <f>+'[36]Commodity Tonnages'!A15</f>
        <v>41670</v>
      </c>
      <c r="B15" s="60"/>
      <c r="C15" s="65">
        <f>HLOOKUP($A15,[36]Multi_Family!$C$6:$N$79,C$5,FALSE)</f>
        <v>1106</v>
      </c>
      <c r="D15" s="69">
        <f>HLOOKUP($A15,[36]Multi_Family!$C$6:$N$79,D$5,FALSE)</f>
        <v>-3.9339999999999997</v>
      </c>
      <c r="E15" s="69">
        <f>HLOOKUP($A15,[36]Multi_Family!$C$6:$N$79,E$5,FALSE)</f>
        <v>-120.17</v>
      </c>
      <c r="F15" s="65">
        <f>HLOOKUP($A15,[36]Multi_Family!$C$6:$N$79,F$5,FALSE)</f>
        <v>53.024999999999999</v>
      </c>
      <c r="G15" s="65">
        <f>HLOOKUP($A15,[36]Multi_Family!$C$6:$N$79,G$5,FALSE)</f>
        <v>59.100999999999999</v>
      </c>
      <c r="H15" s="65">
        <f>HLOOKUP($A15,[36]Multi_Family!$C$6:$N$79,H$5,FALSE)</f>
        <v>53.255999999999993</v>
      </c>
      <c r="I15" s="65">
        <f>HLOOKUP($A15,[36]Multi_Family!$C$6:$N$79,I$5,FALSE)</f>
        <v>130.49399999999997</v>
      </c>
      <c r="J15" s="65">
        <f>HLOOKUP($A15,[36]Multi_Family!$C$6:$N$79,J$5,FALSE)</f>
        <v>130.49399999999997</v>
      </c>
      <c r="K15" s="65">
        <f>HLOOKUP($A15,[36]Multi_Family!$C$6:$N$79,K$5,FALSE)</f>
        <v>85.644999999999996</v>
      </c>
      <c r="L15" s="69">
        <f>HLOOKUP($A15,[36]Multi_Family!$C$6:$N$79,L$5,FALSE)</f>
        <v>-120.17</v>
      </c>
      <c r="M15" s="61"/>
    </row>
    <row r="16" spans="1:13" x14ac:dyDescent="0.2">
      <c r="A16" s="59">
        <f>+'[36]Commodity Tonnages'!A16</f>
        <v>41698</v>
      </c>
      <c r="B16" s="60"/>
      <c r="C16" s="65">
        <f>HLOOKUP($A16,[36]Multi_Family!$C$6:$N$79,C$5,FALSE)</f>
        <v>1095.4089999999999</v>
      </c>
      <c r="D16" s="69">
        <f>HLOOKUP($A16,[36]Multi_Family!$C$6:$N$79,D$5,FALSE)</f>
        <v>-9.113999999999999</v>
      </c>
      <c r="E16" s="69">
        <f>HLOOKUP($A16,[36]Multi_Family!$C$6:$N$79,E$5,FALSE)</f>
        <v>-120.17</v>
      </c>
      <c r="F16" s="65">
        <f>HLOOKUP($A16,[36]Multi_Family!$C$6:$N$79,F$5,FALSE)</f>
        <v>39.094999999999999</v>
      </c>
      <c r="G16" s="65">
        <f>HLOOKUP($A16,[36]Multi_Family!$C$6:$N$79,G$5,FALSE)</f>
        <v>58.519999999999989</v>
      </c>
      <c r="H16" s="65">
        <f>HLOOKUP($A16,[36]Multi_Family!$C$6:$N$79,H$5,FALSE)</f>
        <v>51.967999999999996</v>
      </c>
      <c r="I16" s="65">
        <f>HLOOKUP($A16,[36]Multi_Family!$C$6:$N$79,I$5,FALSE)</f>
        <v>104.23699999999999</v>
      </c>
      <c r="J16" s="65">
        <f>HLOOKUP($A16,[36]Multi_Family!$C$6:$N$79,J$5,FALSE)</f>
        <v>104.23699999999999</v>
      </c>
      <c r="K16" s="65">
        <f>HLOOKUP($A16,[36]Multi_Family!$C$6:$N$79,K$5,FALSE)</f>
        <v>73.444000000000003</v>
      </c>
      <c r="L16" s="69">
        <f>HLOOKUP($A16,[36]Multi_Family!$C$6:$N$79,L$5,FALSE)</f>
        <v>-120.17</v>
      </c>
      <c r="M16" s="61"/>
    </row>
    <row r="17" spans="1:14" x14ac:dyDescent="0.2">
      <c r="A17" s="59">
        <f>+'[36]Commodity Tonnages'!A17</f>
        <v>41729</v>
      </c>
      <c r="B17" s="60"/>
      <c r="C17" s="65">
        <f>HLOOKUP($A17,[36]Multi_Family!$C$6:$N$79,C$5,FALSE)</f>
        <v>1041.194</v>
      </c>
      <c r="D17" s="69">
        <f>HLOOKUP($A17,[36]Multi_Family!$C$6:$N$79,D$5,FALSE)</f>
        <v>-5.194</v>
      </c>
      <c r="E17" s="69">
        <f>HLOOKUP($A17,[36]Multi_Family!$C$6:$N$79,E$5,FALSE)</f>
        <v>-120.17</v>
      </c>
      <c r="F17" s="65">
        <f>HLOOKUP($A17,[36]Multi_Family!$C$6:$N$79,F$5,FALSE)</f>
        <v>39.753</v>
      </c>
      <c r="G17" s="65">
        <f>HLOOKUP($A17,[36]Multi_Family!$C$6:$N$79,G$5,FALSE)</f>
        <v>59.919999999999995</v>
      </c>
      <c r="H17" s="65">
        <f>HLOOKUP($A17,[36]Multi_Family!$C$6:$N$79,H$5,FALSE)</f>
        <v>56.069999999999993</v>
      </c>
      <c r="I17" s="65">
        <f>HLOOKUP($A17,[36]Multi_Family!$C$6:$N$79,I$5,FALSE)</f>
        <v>119.26599999999999</v>
      </c>
      <c r="J17" s="65">
        <f>HLOOKUP($A17,[36]Multi_Family!$C$6:$N$79,J$5,FALSE)</f>
        <v>119.26599999999999</v>
      </c>
      <c r="K17" s="65">
        <f>HLOOKUP($A17,[36]Multi_Family!$C$6:$N$79,K$5,FALSE)</f>
        <v>71.742999999999995</v>
      </c>
      <c r="L17" s="69">
        <f>HLOOKUP($A17,[36]Multi_Family!$C$6:$N$79,L$5,FALSE)</f>
        <v>-120.17</v>
      </c>
      <c r="M17" s="61"/>
    </row>
    <row r="18" spans="1:14" x14ac:dyDescent="0.2">
      <c r="A18" s="59">
        <f>+'[36]Commodity Tonnages'!A18</f>
        <v>41759</v>
      </c>
      <c r="B18" s="60"/>
      <c r="C18" s="65">
        <f>HLOOKUP($A18,[36]Multi_Family!$C$6:$N$79,C$5,FALSE)</f>
        <v>970.33299999999997</v>
      </c>
      <c r="D18" s="69">
        <f>HLOOKUP($A18,[36]Multi_Family!$C$6:$N$79,D$5,FALSE)</f>
        <v>-13.93</v>
      </c>
      <c r="E18" s="69">
        <f>HLOOKUP($A18,[36]Multi_Family!$C$6:$N$79,E$5,FALSE)</f>
        <v>-120.17</v>
      </c>
      <c r="F18" s="65">
        <f>HLOOKUP($A18,[36]Multi_Family!$C$6:$N$79,F$5,FALSE)</f>
        <v>39.269999999999996</v>
      </c>
      <c r="G18" s="65">
        <f>HLOOKUP($A18,[36]Multi_Family!$C$6:$N$79,G$5,FALSE)</f>
        <v>61.284999999999997</v>
      </c>
      <c r="H18" s="65">
        <f>HLOOKUP($A18,[36]Multi_Family!$C$6:$N$79,H$5,FALSE)</f>
        <v>56.069999999999993</v>
      </c>
      <c r="I18" s="65">
        <f>HLOOKUP($A18,[36]Multi_Family!$C$6:$N$79,I$5,FALSE)</f>
        <v>143.15699999999998</v>
      </c>
      <c r="J18" s="65">
        <f>HLOOKUP($A18,[36]Multi_Family!$C$6:$N$79,J$5,FALSE)</f>
        <v>143.15699999999998</v>
      </c>
      <c r="K18" s="65">
        <f>HLOOKUP($A18,[36]Multi_Family!$C$6:$N$79,K$5,FALSE)</f>
        <v>80.044999999999987</v>
      </c>
      <c r="L18" s="69">
        <f>HLOOKUP($A18,[36]Multi_Family!$C$6:$N$79,L$5,FALSE)</f>
        <v>-120.17</v>
      </c>
      <c r="M18" s="61"/>
    </row>
    <row r="19" spans="1:14" x14ac:dyDescent="0.2">
      <c r="A19" s="60"/>
      <c r="B19" s="60"/>
      <c r="C19" s="61"/>
      <c r="D19" s="61"/>
      <c r="E19" s="61"/>
      <c r="F19" s="61"/>
      <c r="G19" s="61"/>
      <c r="H19" s="61"/>
      <c r="I19" s="61"/>
      <c r="J19" s="61"/>
      <c r="K19" s="61"/>
      <c r="L19" s="60"/>
      <c r="M19" s="61"/>
    </row>
    <row r="20" spans="1:14" x14ac:dyDescent="0.2">
      <c r="A20" s="63"/>
      <c r="B20" s="60"/>
      <c r="C20" s="61"/>
      <c r="D20" s="61"/>
      <c r="E20" s="61"/>
      <c r="F20" s="61"/>
      <c r="G20" s="61"/>
      <c r="H20" s="61"/>
      <c r="I20" s="61"/>
      <c r="J20" s="61"/>
      <c r="K20" s="61"/>
      <c r="L20" s="61"/>
      <c r="M20" s="61"/>
      <c r="N20" s="61" t="s">
        <v>31</v>
      </c>
    </row>
    <row r="21" spans="1:14" x14ac:dyDescent="0.2">
      <c r="A21" s="60"/>
      <c r="B21" s="60"/>
      <c r="C21" s="60"/>
      <c r="D21" s="60"/>
      <c r="E21" s="60"/>
      <c r="F21" s="60"/>
      <c r="G21" s="60"/>
      <c r="H21" s="60"/>
      <c r="I21" s="60"/>
      <c r="J21" s="60"/>
      <c r="K21" s="60"/>
      <c r="L21" s="60"/>
      <c r="M21" s="61"/>
    </row>
    <row r="22" spans="1:14" x14ac:dyDescent="0.2">
      <c r="A22" s="60"/>
      <c r="B22" s="60"/>
      <c r="C22" s="60"/>
      <c r="D22" s="60"/>
      <c r="E22" s="60"/>
      <c r="F22" s="60"/>
      <c r="G22" s="60"/>
      <c r="H22" s="60"/>
      <c r="I22" s="60"/>
      <c r="J22" s="60"/>
      <c r="K22" s="60"/>
      <c r="L22" s="60"/>
      <c r="M22" s="61"/>
    </row>
    <row r="23" spans="1:14" x14ac:dyDescent="0.2">
      <c r="A23" s="60"/>
      <c r="B23" s="60"/>
      <c r="C23" s="60"/>
      <c r="D23" s="60"/>
      <c r="E23" s="60"/>
      <c r="F23" s="60"/>
      <c r="G23" s="60"/>
      <c r="H23" s="60"/>
      <c r="I23" s="60"/>
      <c r="J23" s="60"/>
      <c r="K23" s="60"/>
      <c r="L23" s="60"/>
      <c r="M23" s="61"/>
    </row>
    <row r="24" spans="1:14" x14ac:dyDescent="0.2">
      <c r="A24" s="60"/>
      <c r="B24" s="60"/>
      <c r="C24" s="60"/>
      <c r="D24" s="60"/>
      <c r="E24" s="60"/>
      <c r="F24" s="60"/>
      <c r="G24" s="60"/>
      <c r="H24" s="60"/>
      <c r="I24" s="60"/>
      <c r="J24" s="60"/>
      <c r="K24" s="60"/>
      <c r="L24" s="60"/>
      <c r="M24" s="61"/>
    </row>
    <row r="25" spans="1:14" x14ac:dyDescent="0.2">
      <c r="A25" s="60"/>
      <c r="B25" s="60"/>
      <c r="C25" s="60"/>
      <c r="D25" s="60"/>
      <c r="E25" s="60"/>
      <c r="F25" s="60"/>
      <c r="G25" s="60"/>
      <c r="H25" s="60"/>
      <c r="I25" s="60"/>
      <c r="J25" s="60"/>
      <c r="K25" s="60"/>
      <c r="L25" s="60"/>
      <c r="M25" s="61"/>
    </row>
    <row r="26" spans="1:14" x14ac:dyDescent="0.2">
      <c r="A26" s="60"/>
      <c r="B26" s="60"/>
      <c r="C26" s="60"/>
      <c r="D26" s="60"/>
      <c r="E26" s="60"/>
      <c r="F26" s="60"/>
      <c r="G26" s="60"/>
      <c r="H26" s="60"/>
      <c r="I26" s="60"/>
      <c r="J26" s="60"/>
      <c r="K26" s="60"/>
      <c r="L26" s="60"/>
      <c r="M26" s="61"/>
    </row>
    <row r="27" spans="1:14" x14ac:dyDescent="0.2">
      <c r="A27" s="60"/>
      <c r="B27" s="60"/>
      <c r="C27" s="60"/>
      <c r="D27" s="60"/>
      <c r="E27" s="60"/>
      <c r="F27" s="60"/>
      <c r="G27" s="60"/>
      <c r="H27" s="60"/>
      <c r="I27" s="60"/>
      <c r="J27" s="60"/>
      <c r="K27" s="60"/>
      <c r="L27" s="60"/>
      <c r="M27" s="61"/>
    </row>
    <row r="28" spans="1:14" x14ac:dyDescent="0.2">
      <c r="A28" s="60"/>
      <c r="B28" s="60"/>
      <c r="C28" s="60"/>
      <c r="D28" s="60"/>
      <c r="E28" s="60"/>
      <c r="F28" s="60"/>
      <c r="G28" s="60"/>
      <c r="H28" s="60"/>
      <c r="I28" s="60"/>
      <c r="J28" s="60"/>
      <c r="K28" s="60"/>
      <c r="L28" s="60"/>
      <c r="M28" s="61"/>
    </row>
    <row r="29" spans="1:14" x14ac:dyDescent="0.2">
      <c r="A29" s="60"/>
      <c r="B29" s="60"/>
      <c r="C29" s="60"/>
      <c r="D29" s="60"/>
      <c r="E29" s="60"/>
      <c r="F29" s="60"/>
      <c r="G29" s="60"/>
      <c r="H29" s="60"/>
      <c r="I29" s="60"/>
      <c r="J29" s="60"/>
      <c r="K29" s="60"/>
      <c r="L29" s="60"/>
      <c r="M29" s="61"/>
    </row>
    <row r="30" spans="1:14" x14ac:dyDescent="0.2">
      <c r="A30" s="60"/>
      <c r="B30" s="60"/>
      <c r="C30" s="60"/>
      <c r="D30" s="60"/>
      <c r="E30" s="60"/>
      <c r="F30" s="60"/>
      <c r="G30" s="60"/>
      <c r="H30" s="60"/>
      <c r="I30" s="60"/>
      <c r="J30" s="60"/>
      <c r="K30" s="60"/>
      <c r="L30" s="60"/>
      <c r="M30" s="61"/>
    </row>
    <row r="31" spans="1:14" x14ac:dyDescent="0.2">
      <c r="A31" s="60"/>
      <c r="B31" s="60"/>
      <c r="C31" s="60"/>
      <c r="D31" s="60"/>
      <c r="E31" s="60"/>
      <c r="F31" s="60"/>
      <c r="G31" s="60"/>
      <c r="H31" s="60"/>
      <c r="I31" s="60"/>
      <c r="J31" s="60"/>
      <c r="K31" s="60"/>
      <c r="L31" s="60"/>
      <c r="M31" s="60"/>
    </row>
    <row r="32" spans="1:14" x14ac:dyDescent="0.2">
      <c r="A32" s="60"/>
      <c r="B32" s="60"/>
      <c r="C32" s="60"/>
      <c r="D32" s="60"/>
      <c r="E32" s="60"/>
      <c r="F32" s="60"/>
      <c r="G32" s="60"/>
      <c r="H32" s="60"/>
      <c r="I32" s="60"/>
      <c r="J32" s="60"/>
      <c r="K32" s="60"/>
      <c r="L32" s="60"/>
      <c r="M32" s="60"/>
    </row>
    <row r="33" spans="1:13" x14ac:dyDescent="0.2">
      <c r="A33" s="60"/>
      <c r="B33" s="60"/>
      <c r="C33" s="60"/>
      <c r="D33" s="60"/>
      <c r="E33" s="60"/>
      <c r="F33" s="60"/>
      <c r="G33" s="60"/>
      <c r="H33" s="60"/>
      <c r="I33" s="60"/>
      <c r="J33" s="60"/>
      <c r="K33" s="60"/>
      <c r="L33" s="60"/>
      <c r="M33" s="60"/>
    </row>
    <row r="34" spans="1:13" x14ac:dyDescent="0.2">
      <c r="A34" s="60"/>
      <c r="B34" s="60"/>
      <c r="C34" s="60"/>
      <c r="D34" s="60"/>
      <c r="E34" s="60"/>
      <c r="F34" s="60"/>
      <c r="G34" s="60"/>
      <c r="H34" s="60"/>
      <c r="I34" s="60"/>
      <c r="J34" s="60"/>
      <c r="K34" s="60"/>
      <c r="L34" s="60"/>
      <c r="M34" s="60"/>
    </row>
    <row r="35" spans="1:13" x14ac:dyDescent="0.2">
      <c r="A35" s="60"/>
      <c r="B35" s="60"/>
      <c r="C35" s="60"/>
      <c r="D35" s="60"/>
      <c r="E35" s="60"/>
      <c r="F35" s="60"/>
      <c r="G35" s="60"/>
      <c r="H35" s="60"/>
      <c r="I35" s="60"/>
      <c r="J35" s="60"/>
      <c r="K35" s="60"/>
      <c r="L35" s="60"/>
      <c r="M35" s="60"/>
    </row>
    <row r="36" spans="1:13" x14ac:dyDescent="0.2">
      <c r="A36" s="60"/>
      <c r="B36" s="60"/>
      <c r="C36" s="60"/>
      <c r="D36" s="60"/>
      <c r="E36" s="60"/>
      <c r="F36" s="60"/>
      <c r="G36" s="60"/>
      <c r="H36" s="60"/>
      <c r="I36" s="60"/>
      <c r="J36" s="60"/>
      <c r="K36" s="60"/>
      <c r="L36" s="60"/>
      <c r="M36" s="60"/>
    </row>
    <row r="37" spans="1:13" x14ac:dyDescent="0.2">
      <c r="A37" s="60"/>
      <c r="B37" s="60"/>
      <c r="C37" s="60"/>
      <c r="D37" s="60"/>
      <c r="E37" s="60"/>
      <c r="F37" s="60"/>
      <c r="G37" s="60"/>
      <c r="H37" s="60"/>
      <c r="I37" s="60"/>
      <c r="J37" s="60"/>
      <c r="K37" s="60"/>
      <c r="L37" s="60"/>
      <c r="M37" s="60"/>
    </row>
    <row r="38" spans="1:13" x14ac:dyDescent="0.2">
      <c r="A38" s="60"/>
      <c r="B38" s="60"/>
      <c r="C38" s="60"/>
      <c r="D38" s="60"/>
      <c r="E38" s="60"/>
      <c r="F38" s="60"/>
      <c r="G38" s="60"/>
      <c r="H38" s="60"/>
      <c r="I38" s="60"/>
      <c r="J38" s="60"/>
      <c r="K38" s="60"/>
      <c r="L38" s="60"/>
      <c r="M38" s="60"/>
    </row>
    <row r="39" spans="1:13" x14ac:dyDescent="0.2">
      <c r="A39" s="60"/>
      <c r="B39" s="60"/>
      <c r="C39" s="60"/>
      <c r="D39" s="60"/>
      <c r="E39" s="60"/>
      <c r="F39" s="60"/>
      <c r="G39" s="60"/>
      <c r="H39" s="60"/>
      <c r="I39" s="60"/>
      <c r="J39" s="60"/>
      <c r="K39" s="60"/>
      <c r="L39" s="60"/>
      <c r="M39" s="60"/>
    </row>
    <row r="40" spans="1:13" x14ac:dyDescent="0.2">
      <c r="A40" s="60"/>
      <c r="B40" s="60"/>
      <c r="C40" s="60"/>
      <c r="D40" s="60"/>
      <c r="E40" s="60"/>
      <c r="F40" s="60"/>
      <c r="G40" s="60"/>
      <c r="H40" s="60"/>
      <c r="I40" s="60"/>
      <c r="J40" s="60"/>
      <c r="K40" s="60"/>
      <c r="L40" s="60"/>
      <c r="M40" s="60"/>
    </row>
    <row r="41" spans="1:13" x14ac:dyDescent="0.2">
      <c r="A41" s="60"/>
      <c r="B41" s="60"/>
      <c r="C41" s="60"/>
      <c r="D41" s="60"/>
      <c r="E41" s="60"/>
      <c r="F41" s="60"/>
      <c r="G41" s="60"/>
      <c r="H41" s="60"/>
      <c r="I41" s="60"/>
      <c r="J41" s="60"/>
      <c r="K41" s="60"/>
      <c r="L41" s="60"/>
      <c r="M41" s="60"/>
    </row>
    <row r="42" spans="1:13" x14ac:dyDescent="0.2">
      <c r="A42" s="60"/>
      <c r="B42" s="60"/>
      <c r="C42" s="60"/>
      <c r="D42" s="60"/>
      <c r="E42" s="60"/>
      <c r="F42" s="60"/>
      <c r="G42" s="60"/>
      <c r="H42" s="60"/>
      <c r="I42" s="60"/>
      <c r="J42" s="60"/>
      <c r="K42" s="60"/>
      <c r="L42" s="60"/>
      <c r="M42" s="60"/>
    </row>
    <row r="43" spans="1:13" x14ac:dyDescent="0.2">
      <c r="A43" s="60"/>
      <c r="B43" s="60"/>
      <c r="C43" s="60"/>
      <c r="D43" s="60"/>
      <c r="E43" s="60"/>
      <c r="F43" s="60"/>
      <c r="G43" s="60"/>
      <c r="H43" s="60"/>
      <c r="I43" s="60"/>
      <c r="J43" s="60"/>
      <c r="K43" s="60"/>
      <c r="L43" s="60"/>
      <c r="M43" s="60"/>
    </row>
    <row r="44" spans="1:13" x14ac:dyDescent="0.2">
      <c r="A44" s="60"/>
      <c r="B44" s="60"/>
      <c r="C44" s="60"/>
      <c r="D44" s="60"/>
      <c r="E44" s="60"/>
      <c r="F44" s="60"/>
      <c r="G44" s="60"/>
      <c r="H44" s="60"/>
      <c r="I44" s="60"/>
      <c r="J44" s="60"/>
      <c r="K44" s="60"/>
      <c r="L44" s="60"/>
      <c r="M44" s="60"/>
    </row>
    <row r="45" spans="1:13" x14ac:dyDescent="0.2">
      <c r="A45" s="60"/>
      <c r="B45" s="60"/>
      <c r="C45" s="60"/>
      <c r="D45" s="60"/>
      <c r="E45" s="60"/>
      <c r="F45" s="60"/>
      <c r="G45" s="60"/>
      <c r="H45" s="60"/>
      <c r="I45" s="60"/>
      <c r="J45" s="60"/>
      <c r="K45" s="60"/>
      <c r="L45" s="60"/>
      <c r="M45" s="60"/>
    </row>
    <row r="46" spans="1:13" x14ac:dyDescent="0.2">
      <c r="A46" s="60"/>
      <c r="B46" s="60"/>
      <c r="C46" s="60"/>
      <c r="D46" s="60"/>
      <c r="E46" s="60"/>
      <c r="F46" s="60"/>
      <c r="G46" s="60"/>
      <c r="H46" s="60"/>
      <c r="I46" s="60"/>
      <c r="J46" s="60"/>
      <c r="K46" s="60"/>
      <c r="L46" s="60"/>
      <c r="M46" s="60"/>
    </row>
    <row r="47" spans="1:13" x14ac:dyDescent="0.2">
      <c r="A47" s="60"/>
      <c r="B47" s="60"/>
      <c r="C47" s="60"/>
      <c r="D47" s="60"/>
      <c r="E47" s="60"/>
      <c r="F47" s="60"/>
      <c r="G47" s="60"/>
      <c r="H47" s="60"/>
      <c r="I47" s="60"/>
      <c r="J47" s="60"/>
      <c r="K47" s="60"/>
      <c r="L47" s="60"/>
      <c r="M47" s="60"/>
    </row>
    <row r="48" spans="1:13" x14ac:dyDescent="0.2">
      <c r="A48" s="60"/>
      <c r="B48" s="60"/>
      <c r="C48" s="60"/>
      <c r="D48" s="60"/>
      <c r="E48" s="60"/>
      <c r="F48" s="60"/>
      <c r="G48" s="60"/>
      <c r="H48" s="60"/>
      <c r="I48" s="60"/>
      <c r="J48" s="60"/>
      <c r="K48" s="60"/>
      <c r="L48" s="60"/>
      <c r="M48" s="60"/>
    </row>
    <row r="49" spans="1:13" x14ac:dyDescent="0.2">
      <c r="A49" s="60"/>
      <c r="B49" s="60"/>
      <c r="C49" s="60"/>
      <c r="D49" s="60"/>
      <c r="E49" s="60"/>
      <c r="F49" s="60"/>
      <c r="G49" s="60"/>
      <c r="H49" s="60"/>
      <c r="I49" s="60"/>
      <c r="J49" s="60"/>
      <c r="K49" s="60"/>
      <c r="L49" s="60"/>
      <c r="M49" s="60"/>
    </row>
    <row r="50" spans="1:13" x14ac:dyDescent="0.2">
      <c r="A50" s="60"/>
      <c r="B50" s="60"/>
      <c r="C50" s="60"/>
      <c r="D50" s="60"/>
      <c r="E50" s="60"/>
      <c r="F50" s="60"/>
      <c r="G50" s="60"/>
      <c r="H50" s="60"/>
      <c r="I50" s="60"/>
      <c r="J50" s="60"/>
      <c r="K50" s="60"/>
      <c r="L50" s="60"/>
      <c r="M50" s="60"/>
    </row>
    <row r="51" spans="1:13" x14ac:dyDescent="0.2">
      <c r="A51" s="60"/>
      <c r="B51" s="60"/>
      <c r="C51" s="60"/>
      <c r="D51" s="60"/>
      <c r="E51" s="60"/>
      <c r="F51" s="60"/>
      <c r="G51" s="60"/>
      <c r="H51" s="60"/>
      <c r="I51" s="60"/>
      <c r="J51" s="60"/>
      <c r="K51" s="60"/>
      <c r="L51" s="60"/>
      <c r="M51" s="60"/>
    </row>
    <row r="52" spans="1:13" x14ac:dyDescent="0.2">
      <c r="A52" s="60"/>
      <c r="B52" s="60"/>
      <c r="C52" s="60"/>
      <c r="D52" s="60"/>
      <c r="E52" s="60"/>
      <c r="F52" s="60"/>
      <c r="G52" s="60"/>
      <c r="H52" s="60"/>
      <c r="I52" s="60"/>
      <c r="J52" s="60"/>
      <c r="K52" s="60"/>
      <c r="L52" s="60"/>
      <c r="M52" s="60"/>
    </row>
    <row r="53" spans="1:13" x14ac:dyDescent="0.2">
      <c r="A53" s="60"/>
      <c r="B53" s="60"/>
      <c r="C53" s="60"/>
      <c r="D53" s="60"/>
      <c r="E53" s="60"/>
      <c r="F53" s="60"/>
      <c r="G53" s="60"/>
      <c r="H53" s="60"/>
      <c r="I53" s="60"/>
      <c r="J53" s="60"/>
      <c r="K53" s="60"/>
      <c r="L53" s="60"/>
      <c r="M53" s="60"/>
    </row>
    <row r="54" spans="1:13" x14ac:dyDescent="0.2">
      <c r="A54" s="60"/>
      <c r="B54" s="60"/>
      <c r="C54" s="60"/>
      <c r="D54" s="60"/>
      <c r="E54" s="60"/>
      <c r="F54" s="60"/>
      <c r="G54" s="60"/>
      <c r="H54" s="60"/>
      <c r="I54" s="60"/>
      <c r="J54" s="60"/>
      <c r="K54" s="60"/>
      <c r="L54" s="60"/>
      <c r="M54" s="60"/>
    </row>
    <row r="55" spans="1:13" x14ac:dyDescent="0.2">
      <c r="A55" s="60"/>
      <c r="B55" s="60"/>
      <c r="C55" s="60"/>
      <c r="D55" s="60"/>
      <c r="E55" s="60"/>
      <c r="F55" s="60"/>
      <c r="G55" s="60"/>
      <c r="H55" s="60"/>
      <c r="I55" s="60"/>
      <c r="J55" s="60"/>
      <c r="K55" s="60"/>
      <c r="L55" s="60"/>
      <c r="M55" s="60"/>
    </row>
    <row r="56" spans="1:13" x14ac:dyDescent="0.2">
      <c r="A56" s="60"/>
      <c r="B56" s="60"/>
      <c r="C56" s="60"/>
      <c r="D56" s="60"/>
      <c r="E56" s="60"/>
      <c r="F56" s="60"/>
      <c r="G56" s="60"/>
      <c r="H56" s="60"/>
      <c r="I56" s="60"/>
      <c r="J56" s="60"/>
      <c r="K56" s="60"/>
      <c r="L56" s="60"/>
      <c r="M56" s="60"/>
    </row>
    <row r="57" spans="1:13" x14ac:dyDescent="0.2">
      <c r="A57" s="60"/>
      <c r="B57" s="60"/>
      <c r="C57" s="60"/>
      <c r="D57" s="60"/>
      <c r="E57" s="60"/>
      <c r="F57" s="60"/>
      <c r="G57" s="60"/>
      <c r="H57" s="60"/>
      <c r="I57" s="60"/>
      <c r="J57" s="60"/>
      <c r="K57" s="60"/>
      <c r="L57" s="60"/>
      <c r="M57" s="60"/>
    </row>
    <row r="58" spans="1:13" x14ac:dyDescent="0.2">
      <c r="A58" s="60"/>
      <c r="B58" s="60"/>
      <c r="C58" s="60"/>
      <c r="D58" s="60"/>
      <c r="E58" s="60"/>
      <c r="F58" s="60"/>
      <c r="G58" s="60"/>
      <c r="H58" s="60"/>
      <c r="I58" s="60"/>
      <c r="J58" s="60"/>
      <c r="K58" s="60"/>
      <c r="L58" s="60"/>
      <c r="M58" s="60"/>
    </row>
    <row r="59" spans="1:13" x14ac:dyDescent="0.2">
      <c r="A59" s="60"/>
      <c r="B59" s="60"/>
      <c r="C59" s="60"/>
      <c r="D59" s="60"/>
      <c r="E59" s="60"/>
      <c r="F59" s="60"/>
      <c r="G59" s="60"/>
      <c r="H59" s="60"/>
      <c r="I59" s="60"/>
      <c r="J59" s="60"/>
      <c r="K59" s="60"/>
      <c r="L59" s="60"/>
      <c r="M59" s="60"/>
    </row>
    <row r="60" spans="1:13" x14ac:dyDescent="0.2">
      <c r="A60" s="60"/>
      <c r="B60" s="60"/>
      <c r="C60" s="60"/>
      <c r="D60" s="60"/>
      <c r="E60" s="60"/>
      <c r="F60" s="60"/>
      <c r="G60" s="60"/>
      <c r="H60" s="60"/>
      <c r="I60" s="60"/>
      <c r="J60" s="60"/>
      <c r="K60" s="60"/>
      <c r="L60" s="60"/>
      <c r="M60" s="60"/>
    </row>
    <row r="61" spans="1:13" x14ac:dyDescent="0.2">
      <c r="A61" s="60"/>
      <c r="B61" s="60"/>
      <c r="C61" s="60"/>
      <c r="D61" s="60"/>
      <c r="E61" s="60"/>
      <c r="F61" s="60"/>
      <c r="G61" s="60"/>
      <c r="H61" s="60"/>
      <c r="I61" s="60"/>
      <c r="J61" s="60"/>
      <c r="K61" s="60"/>
      <c r="L61" s="60"/>
      <c r="M61" s="60"/>
    </row>
    <row r="62" spans="1:13" x14ac:dyDescent="0.2">
      <c r="A62" s="60"/>
      <c r="B62" s="60"/>
      <c r="C62" s="60"/>
      <c r="D62" s="60"/>
      <c r="E62" s="60"/>
      <c r="F62" s="60"/>
      <c r="G62" s="60"/>
      <c r="H62" s="60"/>
      <c r="I62" s="60"/>
      <c r="J62" s="60"/>
      <c r="K62" s="60"/>
      <c r="L62" s="60"/>
      <c r="M62" s="60"/>
    </row>
    <row r="63" spans="1:13" x14ac:dyDescent="0.2">
      <c r="A63" s="60"/>
      <c r="B63" s="60"/>
      <c r="C63" s="60"/>
      <c r="D63" s="60"/>
      <c r="E63" s="60"/>
      <c r="F63" s="60"/>
      <c r="G63" s="60"/>
      <c r="H63" s="60"/>
      <c r="I63" s="60"/>
      <c r="J63" s="60"/>
      <c r="K63" s="60"/>
      <c r="L63" s="60"/>
      <c r="M63" s="60"/>
    </row>
    <row r="64" spans="1:13" x14ac:dyDescent="0.2">
      <c r="A64" s="60"/>
      <c r="B64" s="60"/>
      <c r="C64" s="60"/>
      <c r="D64" s="60"/>
      <c r="E64" s="60"/>
      <c r="F64" s="60"/>
      <c r="G64" s="60"/>
      <c r="H64" s="60"/>
      <c r="I64" s="60"/>
      <c r="J64" s="60"/>
      <c r="K64" s="60"/>
      <c r="L64" s="60"/>
      <c r="M64" s="60"/>
    </row>
    <row r="65" spans="1:13" x14ac:dyDescent="0.2">
      <c r="A65" s="60"/>
      <c r="B65" s="60"/>
      <c r="C65" s="60"/>
      <c r="D65" s="60"/>
      <c r="E65" s="60"/>
      <c r="F65" s="60"/>
      <c r="G65" s="60"/>
      <c r="H65" s="60"/>
      <c r="I65" s="60"/>
      <c r="J65" s="60"/>
      <c r="K65" s="60"/>
      <c r="L65" s="60"/>
      <c r="M65" s="60"/>
    </row>
    <row r="66" spans="1:13" x14ac:dyDescent="0.2">
      <c r="A66" s="60"/>
      <c r="B66" s="60"/>
      <c r="C66" s="60"/>
      <c r="D66" s="60"/>
      <c r="E66" s="60"/>
      <c r="F66" s="60"/>
      <c r="G66" s="60"/>
      <c r="H66" s="60"/>
      <c r="I66" s="60"/>
      <c r="J66" s="60"/>
      <c r="K66" s="60"/>
      <c r="L66" s="60"/>
      <c r="M66" s="60"/>
    </row>
    <row r="67" spans="1:13" x14ac:dyDescent="0.2">
      <c r="A67" s="60"/>
      <c r="B67" s="60"/>
      <c r="C67" s="60"/>
      <c r="D67" s="60"/>
      <c r="E67" s="60"/>
      <c r="F67" s="60"/>
      <c r="G67" s="60"/>
      <c r="H67" s="60"/>
      <c r="I67" s="60"/>
      <c r="J67" s="60"/>
      <c r="K67" s="60"/>
      <c r="L67" s="60"/>
      <c r="M67" s="60"/>
    </row>
    <row r="68" spans="1:13" x14ac:dyDescent="0.2">
      <c r="A68" s="60"/>
      <c r="B68" s="60"/>
      <c r="C68" s="60"/>
      <c r="D68" s="60"/>
      <c r="E68" s="60"/>
      <c r="F68" s="60"/>
      <c r="G68" s="60"/>
      <c r="H68" s="60"/>
      <c r="I68" s="60"/>
      <c r="J68" s="60"/>
      <c r="K68" s="60"/>
      <c r="L68" s="60"/>
      <c r="M68" s="60"/>
    </row>
    <row r="69" spans="1:13" x14ac:dyDescent="0.2">
      <c r="A69" s="60"/>
      <c r="B69" s="60"/>
      <c r="C69" s="60"/>
      <c r="D69" s="60"/>
      <c r="E69" s="60"/>
      <c r="F69" s="60"/>
      <c r="G69" s="60"/>
      <c r="H69" s="60"/>
      <c r="I69" s="60"/>
      <c r="J69" s="60"/>
      <c r="K69" s="60"/>
      <c r="L69" s="60"/>
      <c r="M69" s="60"/>
    </row>
    <row r="70" spans="1:13" x14ac:dyDescent="0.2">
      <c r="A70" s="60"/>
      <c r="B70" s="60"/>
      <c r="C70" s="60"/>
      <c r="D70" s="60"/>
      <c r="E70" s="60"/>
      <c r="F70" s="60"/>
      <c r="G70" s="60"/>
      <c r="H70" s="60"/>
      <c r="I70" s="60"/>
      <c r="J70" s="60"/>
      <c r="K70" s="60"/>
      <c r="L70" s="60"/>
      <c r="M70" s="60"/>
    </row>
    <row r="71" spans="1:13" x14ac:dyDescent="0.2">
      <c r="A71" s="60"/>
      <c r="B71" s="60"/>
      <c r="C71" s="60"/>
      <c r="D71" s="60"/>
      <c r="E71" s="60"/>
      <c r="F71" s="60"/>
      <c r="G71" s="60"/>
      <c r="H71" s="60"/>
      <c r="I71" s="60"/>
      <c r="J71" s="60"/>
      <c r="K71" s="60"/>
      <c r="L71" s="60"/>
      <c r="M71" s="60"/>
    </row>
    <row r="72" spans="1:13" x14ac:dyDescent="0.2">
      <c r="A72" s="60"/>
      <c r="B72" s="60"/>
      <c r="C72" s="60"/>
      <c r="D72" s="60"/>
      <c r="E72" s="60"/>
      <c r="F72" s="60"/>
      <c r="G72" s="60"/>
      <c r="H72" s="60"/>
      <c r="I72" s="60"/>
      <c r="J72" s="60"/>
      <c r="K72" s="60"/>
      <c r="L72" s="60"/>
      <c r="M72" s="60"/>
    </row>
    <row r="73" spans="1:13" x14ac:dyDescent="0.2">
      <c r="A73" s="60"/>
      <c r="B73" s="60"/>
      <c r="C73" s="60"/>
      <c r="D73" s="60"/>
      <c r="E73" s="60"/>
      <c r="F73" s="60"/>
      <c r="G73" s="60"/>
      <c r="H73" s="60"/>
      <c r="I73" s="60"/>
      <c r="J73" s="60"/>
      <c r="K73" s="60"/>
      <c r="L73" s="60"/>
      <c r="M73" s="60"/>
    </row>
    <row r="74" spans="1:13" x14ac:dyDescent="0.2">
      <c r="A74" s="60"/>
      <c r="B74" s="60"/>
      <c r="C74" s="60"/>
      <c r="D74" s="60"/>
      <c r="E74" s="60"/>
      <c r="F74" s="60"/>
      <c r="G74" s="60"/>
      <c r="H74" s="60"/>
      <c r="I74" s="60"/>
      <c r="J74" s="60"/>
      <c r="K74" s="60"/>
      <c r="L74" s="60"/>
      <c r="M74" s="60"/>
    </row>
    <row r="75" spans="1:13" x14ac:dyDescent="0.2">
      <c r="A75" s="60"/>
      <c r="B75" s="60"/>
      <c r="C75" s="60"/>
      <c r="D75" s="60"/>
      <c r="E75" s="60"/>
      <c r="F75" s="60"/>
      <c r="G75" s="60"/>
      <c r="H75" s="60"/>
      <c r="I75" s="60"/>
      <c r="J75" s="60"/>
      <c r="K75" s="60"/>
      <c r="L75" s="60"/>
      <c r="M75" s="60"/>
    </row>
    <row r="76" spans="1:13" x14ac:dyDescent="0.2">
      <c r="A76" s="60"/>
      <c r="B76" s="60"/>
      <c r="C76" s="60"/>
      <c r="D76" s="60"/>
      <c r="E76" s="60"/>
      <c r="F76" s="60"/>
      <c r="G76" s="60"/>
      <c r="H76" s="60"/>
      <c r="I76" s="60"/>
      <c r="J76" s="60"/>
      <c r="K76" s="60"/>
      <c r="L76" s="60"/>
      <c r="M76" s="60"/>
    </row>
    <row r="77" spans="1:13" x14ac:dyDescent="0.2">
      <c r="A77" s="60"/>
      <c r="B77" s="60"/>
      <c r="C77" s="60"/>
      <c r="D77" s="60"/>
      <c r="E77" s="60"/>
      <c r="F77" s="60"/>
      <c r="G77" s="60"/>
      <c r="H77" s="60"/>
      <c r="I77" s="60"/>
      <c r="J77" s="60"/>
      <c r="K77" s="60"/>
      <c r="L77" s="60"/>
      <c r="M77" s="60"/>
    </row>
    <row r="78" spans="1:13" x14ac:dyDescent="0.2">
      <c r="A78" s="60"/>
      <c r="B78" s="60"/>
      <c r="C78" s="60"/>
      <c r="D78" s="60"/>
      <c r="E78" s="60"/>
      <c r="F78" s="60"/>
      <c r="G78" s="60"/>
      <c r="H78" s="60"/>
      <c r="I78" s="60"/>
      <c r="J78" s="60"/>
      <c r="K78" s="60"/>
      <c r="L78" s="60"/>
      <c r="M78" s="60"/>
    </row>
    <row r="79" spans="1:13" x14ac:dyDescent="0.2">
      <c r="A79" s="60"/>
      <c r="B79" s="60"/>
      <c r="C79" s="60"/>
      <c r="D79" s="60"/>
      <c r="E79" s="60"/>
      <c r="F79" s="60"/>
      <c r="G79" s="60"/>
      <c r="H79" s="60"/>
      <c r="I79" s="60"/>
      <c r="J79" s="60"/>
      <c r="K79" s="60"/>
      <c r="L79" s="60"/>
      <c r="M79" s="60"/>
    </row>
    <row r="80" spans="1:13" x14ac:dyDescent="0.2">
      <c r="A80" s="60"/>
      <c r="B80" s="60"/>
      <c r="C80" s="60"/>
      <c r="D80" s="60"/>
      <c r="E80" s="60"/>
      <c r="F80" s="60"/>
      <c r="G80" s="60"/>
      <c r="H80" s="60"/>
      <c r="I80" s="60"/>
      <c r="J80" s="60"/>
      <c r="K80" s="60"/>
      <c r="L80" s="60"/>
      <c r="M80" s="60"/>
    </row>
    <row r="81" spans="1:13" x14ac:dyDescent="0.2">
      <c r="A81" s="60"/>
      <c r="B81" s="60"/>
      <c r="C81" s="60"/>
      <c r="D81" s="60"/>
      <c r="E81" s="60"/>
      <c r="F81" s="60"/>
      <c r="G81" s="60"/>
      <c r="H81" s="60"/>
      <c r="I81" s="60"/>
      <c r="J81" s="60"/>
      <c r="K81" s="60"/>
      <c r="L81" s="60"/>
      <c r="M81" s="60"/>
    </row>
    <row r="82" spans="1:13" x14ac:dyDescent="0.2">
      <c r="A82" s="60"/>
      <c r="B82" s="60"/>
      <c r="C82" s="60"/>
      <c r="D82" s="60"/>
      <c r="E82" s="60"/>
      <c r="F82" s="60"/>
      <c r="G82" s="60"/>
      <c r="H82" s="60"/>
      <c r="I82" s="60"/>
      <c r="J82" s="60"/>
      <c r="K82" s="60"/>
      <c r="L82" s="60"/>
      <c r="M82" s="60"/>
    </row>
    <row r="83" spans="1:13" x14ac:dyDescent="0.2">
      <c r="A83" s="60"/>
      <c r="B83" s="60"/>
      <c r="C83" s="60"/>
      <c r="D83" s="60"/>
      <c r="E83" s="60"/>
      <c r="F83" s="60"/>
      <c r="G83" s="60"/>
      <c r="H83" s="60"/>
      <c r="I83" s="60"/>
      <c r="J83" s="60"/>
      <c r="K83" s="60"/>
      <c r="L83" s="60"/>
      <c r="M83" s="60"/>
    </row>
    <row r="84" spans="1:13" x14ac:dyDescent="0.2">
      <c r="A84" s="60"/>
      <c r="B84" s="60"/>
      <c r="C84" s="60"/>
      <c r="D84" s="60"/>
      <c r="E84" s="60"/>
      <c r="F84" s="60"/>
      <c r="G84" s="60"/>
      <c r="H84" s="60"/>
      <c r="I84" s="60"/>
      <c r="J84" s="60"/>
      <c r="K84" s="60"/>
      <c r="L84" s="60"/>
      <c r="M84" s="60"/>
    </row>
    <row r="85" spans="1:13" x14ac:dyDescent="0.2">
      <c r="A85" s="60"/>
      <c r="B85" s="60"/>
      <c r="C85" s="60"/>
      <c r="D85" s="60"/>
      <c r="E85" s="60"/>
      <c r="F85" s="60"/>
      <c r="G85" s="60"/>
      <c r="H85" s="60"/>
      <c r="I85" s="60"/>
      <c r="J85" s="60"/>
      <c r="K85" s="60"/>
      <c r="L85" s="60"/>
      <c r="M85" s="60"/>
    </row>
    <row r="86" spans="1:13" x14ac:dyDescent="0.2">
      <c r="A86" s="60"/>
      <c r="B86" s="60"/>
      <c r="C86" s="60"/>
      <c r="D86" s="60"/>
      <c r="E86" s="60"/>
      <c r="F86" s="60"/>
      <c r="G86" s="60"/>
      <c r="H86" s="60"/>
      <c r="I86" s="60"/>
      <c r="J86" s="60"/>
      <c r="K86" s="60"/>
      <c r="L86" s="60"/>
      <c r="M86" s="60"/>
    </row>
    <row r="87" spans="1:13" x14ac:dyDescent="0.2">
      <c r="A87" s="60"/>
      <c r="B87" s="60"/>
      <c r="C87" s="60"/>
      <c r="D87" s="60"/>
      <c r="E87" s="60"/>
      <c r="F87" s="60"/>
      <c r="G87" s="60"/>
      <c r="H87" s="60"/>
      <c r="I87" s="60"/>
      <c r="J87" s="60"/>
      <c r="K87" s="60"/>
      <c r="L87" s="60"/>
      <c r="M87" s="60"/>
    </row>
    <row r="88" spans="1:13" x14ac:dyDescent="0.2">
      <c r="A88" s="60"/>
      <c r="B88" s="60"/>
      <c r="C88" s="60"/>
      <c r="D88" s="60"/>
      <c r="E88" s="60"/>
      <c r="F88" s="60"/>
      <c r="G88" s="60"/>
      <c r="H88" s="60"/>
      <c r="I88" s="60"/>
      <c r="J88" s="60"/>
      <c r="K88" s="60"/>
      <c r="L88" s="60"/>
      <c r="M88" s="60"/>
    </row>
    <row r="89" spans="1:13" x14ac:dyDescent="0.2">
      <c r="A89" s="60"/>
      <c r="B89" s="60"/>
      <c r="C89" s="60"/>
      <c r="D89" s="60"/>
      <c r="E89" s="60"/>
      <c r="F89" s="60"/>
      <c r="G89" s="60"/>
      <c r="H89" s="60"/>
      <c r="I89" s="60"/>
      <c r="J89" s="60"/>
      <c r="K89" s="60"/>
      <c r="L89" s="60"/>
      <c r="M89" s="60"/>
    </row>
    <row r="90" spans="1:13" x14ac:dyDescent="0.2">
      <c r="A90" s="60"/>
      <c r="B90" s="60"/>
      <c r="C90" s="60"/>
      <c r="D90" s="60"/>
      <c r="E90" s="60"/>
      <c r="F90" s="60"/>
      <c r="G90" s="60"/>
      <c r="H90" s="60"/>
      <c r="I90" s="60"/>
      <c r="J90" s="60"/>
      <c r="K90" s="60"/>
      <c r="L90" s="60"/>
      <c r="M90" s="60"/>
    </row>
    <row r="91" spans="1:13" x14ac:dyDescent="0.2">
      <c r="A91" s="60"/>
      <c r="B91" s="60"/>
      <c r="C91" s="60"/>
      <c r="D91" s="60"/>
      <c r="E91" s="60"/>
      <c r="F91" s="60"/>
      <c r="G91" s="60"/>
      <c r="H91" s="60"/>
      <c r="I91" s="60"/>
      <c r="J91" s="60"/>
      <c r="K91" s="60"/>
      <c r="L91" s="60"/>
      <c r="M91" s="60"/>
    </row>
    <row r="92" spans="1:13" x14ac:dyDescent="0.2">
      <c r="A92" s="60"/>
      <c r="B92" s="60"/>
      <c r="C92" s="60"/>
      <c r="D92" s="60"/>
      <c r="E92" s="60"/>
      <c r="F92" s="60"/>
      <c r="G92" s="60"/>
      <c r="H92" s="60"/>
      <c r="I92" s="60"/>
      <c r="J92" s="60"/>
      <c r="K92" s="60"/>
      <c r="L92" s="60"/>
      <c r="M92" s="60"/>
    </row>
    <row r="93" spans="1:13" x14ac:dyDescent="0.2">
      <c r="A93" s="60"/>
      <c r="B93" s="60"/>
      <c r="C93" s="60"/>
      <c r="D93" s="60"/>
      <c r="E93" s="60"/>
      <c r="F93" s="60"/>
      <c r="G93" s="60"/>
      <c r="H93" s="60"/>
      <c r="I93" s="60"/>
      <c r="J93" s="60"/>
      <c r="K93" s="60"/>
      <c r="L93" s="60"/>
      <c r="M93" s="60"/>
    </row>
    <row r="94" spans="1:13" x14ac:dyDescent="0.2">
      <c r="A94" s="60"/>
      <c r="B94" s="60"/>
      <c r="C94" s="60"/>
      <c r="D94" s="60"/>
      <c r="E94" s="60"/>
      <c r="F94" s="60"/>
      <c r="G94" s="60"/>
      <c r="H94" s="60"/>
      <c r="I94" s="60"/>
      <c r="J94" s="60"/>
      <c r="K94" s="60"/>
      <c r="L94" s="60"/>
      <c r="M94" s="60"/>
    </row>
    <row r="95" spans="1:13" x14ac:dyDescent="0.2">
      <c r="A95" s="60"/>
      <c r="B95" s="60"/>
      <c r="C95" s="60"/>
      <c r="D95" s="60"/>
      <c r="E95" s="60"/>
      <c r="F95" s="60"/>
      <c r="G95" s="60"/>
      <c r="H95" s="60"/>
      <c r="I95" s="60"/>
      <c r="J95" s="60"/>
      <c r="K95" s="60"/>
      <c r="L95" s="60"/>
      <c r="M95" s="60"/>
    </row>
    <row r="96" spans="1:13" x14ac:dyDescent="0.2">
      <c r="A96" s="60"/>
      <c r="B96" s="60"/>
      <c r="C96" s="60"/>
      <c r="D96" s="60"/>
      <c r="E96" s="60"/>
      <c r="F96" s="60"/>
      <c r="G96" s="60"/>
      <c r="H96" s="60"/>
      <c r="I96" s="60"/>
      <c r="J96" s="60"/>
      <c r="K96" s="60"/>
      <c r="L96" s="60"/>
      <c r="M96" s="60"/>
    </row>
    <row r="97" spans="1:13" x14ac:dyDescent="0.2">
      <c r="A97" s="60"/>
      <c r="B97" s="60"/>
      <c r="C97" s="60"/>
      <c r="D97" s="60"/>
      <c r="E97" s="60"/>
      <c r="F97" s="60"/>
      <c r="G97" s="60"/>
      <c r="H97" s="60"/>
      <c r="I97" s="60"/>
      <c r="J97" s="60"/>
      <c r="K97" s="60"/>
      <c r="L97" s="60"/>
      <c r="M97" s="60"/>
    </row>
    <row r="98" spans="1:13" x14ac:dyDescent="0.2">
      <c r="A98" s="60"/>
      <c r="B98" s="60"/>
      <c r="C98" s="60"/>
      <c r="D98" s="60"/>
      <c r="E98" s="60"/>
      <c r="F98" s="60"/>
      <c r="G98" s="60"/>
      <c r="H98" s="60"/>
      <c r="I98" s="60"/>
      <c r="J98" s="60"/>
      <c r="K98" s="60"/>
      <c r="L98" s="60"/>
      <c r="M98" s="60"/>
    </row>
    <row r="99" spans="1:13" x14ac:dyDescent="0.2">
      <c r="A99" s="60"/>
      <c r="B99" s="60"/>
      <c r="C99" s="60"/>
      <c r="D99" s="60"/>
      <c r="E99" s="60"/>
      <c r="F99" s="60"/>
      <c r="G99" s="60"/>
      <c r="H99" s="60"/>
      <c r="I99" s="60"/>
      <c r="J99" s="60"/>
      <c r="K99" s="60"/>
      <c r="L99" s="60"/>
      <c r="M99" s="60"/>
    </row>
    <row r="100" spans="1:13" x14ac:dyDescent="0.2">
      <c r="A100" s="60"/>
      <c r="B100" s="60"/>
      <c r="C100" s="60"/>
      <c r="D100" s="60"/>
      <c r="E100" s="60"/>
      <c r="F100" s="60"/>
      <c r="G100" s="60"/>
      <c r="H100" s="60"/>
      <c r="I100" s="60"/>
      <c r="J100" s="60"/>
      <c r="K100" s="60"/>
      <c r="L100" s="60"/>
      <c r="M100" s="60"/>
    </row>
    <row r="101" spans="1:13" x14ac:dyDescent="0.2">
      <c r="A101" s="60"/>
      <c r="B101" s="60"/>
      <c r="C101" s="60"/>
      <c r="D101" s="60"/>
      <c r="E101" s="60"/>
      <c r="F101" s="60"/>
      <c r="G101" s="60"/>
      <c r="H101" s="60"/>
      <c r="I101" s="60"/>
      <c r="J101" s="60"/>
      <c r="K101" s="60"/>
      <c r="L101" s="60"/>
      <c r="M101" s="60"/>
    </row>
    <row r="102" spans="1:13" x14ac:dyDescent="0.2">
      <c r="A102" s="60"/>
      <c r="B102" s="60"/>
      <c r="C102" s="60"/>
      <c r="D102" s="60"/>
      <c r="E102" s="60"/>
      <c r="F102" s="60"/>
      <c r="G102" s="60"/>
      <c r="H102" s="60"/>
      <c r="I102" s="60"/>
      <c r="J102" s="60"/>
      <c r="K102" s="60"/>
      <c r="L102" s="60"/>
      <c r="M102" s="60"/>
    </row>
    <row r="103" spans="1:13" x14ac:dyDescent="0.2">
      <c r="A103" s="60"/>
      <c r="B103" s="60"/>
      <c r="C103" s="60"/>
      <c r="D103" s="60"/>
      <c r="E103" s="60"/>
      <c r="F103" s="60"/>
      <c r="G103" s="60"/>
      <c r="H103" s="60"/>
      <c r="I103" s="60"/>
      <c r="J103" s="60"/>
      <c r="K103" s="60"/>
      <c r="L103" s="60"/>
      <c r="M103" s="60"/>
    </row>
    <row r="104" spans="1:13" x14ac:dyDescent="0.2">
      <c r="A104" s="60"/>
      <c r="B104" s="60"/>
      <c r="C104" s="60"/>
      <c r="D104" s="60"/>
      <c r="E104" s="60"/>
      <c r="F104" s="60"/>
      <c r="G104" s="60"/>
      <c r="H104" s="60"/>
      <c r="I104" s="60"/>
      <c r="J104" s="60"/>
      <c r="K104" s="60"/>
      <c r="L104" s="60"/>
      <c r="M104" s="60"/>
    </row>
    <row r="105" spans="1:13" x14ac:dyDescent="0.2">
      <c r="A105" s="60"/>
      <c r="B105" s="60"/>
      <c r="C105" s="60"/>
      <c r="D105" s="60"/>
      <c r="E105" s="60"/>
      <c r="F105" s="60"/>
      <c r="G105" s="60"/>
      <c r="H105" s="60"/>
      <c r="I105" s="60"/>
      <c r="J105" s="60"/>
      <c r="K105" s="60"/>
      <c r="L105" s="60"/>
      <c r="M105" s="60"/>
    </row>
    <row r="106" spans="1:13" x14ac:dyDescent="0.2">
      <c r="A106" s="60"/>
      <c r="B106" s="60"/>
      <c r="C106" s="60"/>
      <c r="D106" s="60"/>
      <c r="E106" s="60"/>
      <c r="F106" s="60"/>
      <c r="G106" s="60"/>
      <c r="H106" s="60"/>
      <c r="I106" s="60"/>
      <c r="J106" s="60"/>
      <c r="K106" s="60"/>
      <c r="L106" s="60"/>
      <c r="M106" s="60"/>
    </row>
    <row r="107" spans="1:13" x14ac:dyDescent="0.2">
      <c r="A107" s="60"/>
      <c r="B107" s="60"/>
      <c r="C107" s="60"/>
      <c r="D107" s="60"/>
      <c r="E107" s="60"/>
      <c r="F107" s="60"/>
      <c r="G107" s="60"/>
      <c r="H107" s="60"/>
      <c r="I107" s="60"/>
      <c r="J107" s="60"/>
      <c r="K107" s="60"/>
      <c r="L107" s="60"/>
      <c r="M107" s="60"/>
    </row>
    <row r="108" spans="1:13" x14ac:dyDescent="0.2">
      <c r="A108" s="60"/>
      <c r="B108" s="60"/>
      <c r="C108" s="60"/>
      <c r="D108" s="60"/>
      <c r="E108" s="60"/>
      <c r="F108" s="60"/>
      <c r="G108" s="60"/>
      <c r="H108" s="60"/>
      <c r="I108" s="60"/>
      <c r="J108" s="60"/>
      <c r="K108" s="60"/>
      <c r="L108" s="60"/>
      <c r="M108" s="60"/>
    </row>
    <row r="109" spans="1:13" x14ac:dyDescent="0.2">
      <c r="A109" s="60"/>
      <c r="B109" s="60"/>
      <c r="C109" s="60"/>
      <c r="D109" s="60"/>
      <c r="E109" s="60"/>
      <c r="F109" s="60"/>
      <c r="G109" s="60"/>
      <c r="H109" s="60"/>
      <c r="I109" s="60"/>
      <c r="J109" s="60"/>
      <c r="K109" s="60"/>
      <c r="L109" s="60"/>
      <c r="M109" s="60"/>
    </row>
    <row r="110" spans="1:13" x14ac:dyDescent="0.2">
      <c r="A110" s="60"/>
      <c r="B110" s="60"/>
      <c r="C110" s="60"/>
      <c r="D110" s="60"/>
      <c r="E110" s="60"/>
      <c r="F110" s="60"/>
      <c r="G110" s="60"/>
      <c r="H110" s="60"/>
      <c r="I110" s="60"/>
      <c r="J110" s="60"/>
      <c r="K110" s="60"/>
      <c r="L110" s="60"/>
      <c r="M110" s="60"/>
    </row>
    <row r="111" spans="1:13" x14ac:dyDescent="0.2">
      <c r="A111" s="60"/>
      <c r="B111" s="60"/>
      <c r="C111" s="60"/>
      <c r="D111" s="60"/>
      <c r="E111" s="60"/>
      <c r="F111" s="60"/>
      <c r="G111" s="60"/>
      <c r="H111" s="60"/>
      <c r="I111" s="60"/>
      <c r="J111" s="60"/>
      <c r="K111" s="60"/>
      <c r="L111" s="60"/>
      <c r="M111" s="60"/>
    </row>
    <row r="112" spans="1:13" x14ac:dyDescent="0.2">
      <c r="A112" s="60"/>
      <c r="B112" s="60"/>
      <c r="C112" s="60"/>
      <c r="D112" s="60"/>
      <c r="E112" s="60"/>
      <c r="F112" s="60"/>
      <c r="G112" s="60"/>
      <c r="H112" s="60"/>
      <c r="I112" s="60"/>
      <c r="J112" s="60"/>
      <c r="K112" s="60"/>
      <c r="L112" s="60"/>
      <c r="M112" s="60"/>
    </row>
    <row r="113" spans="1:13" x14ac:dyDescent="0.2">
      <c r="A113" s="60"/>
      <c r="B113" s="60"/>
      <c r="C113" s="60"/>
      <c r="D113" s="60"/>
      <c r="E113" s="60"/>
      <c r="F113" s="60"/>
      <c r="G113" s="60"/>
      <c r="H113" s="60"/>
      <c r="I113" s="60"/>
      <c r="J113" s="60"/>
      <c r="K113" s="60"/>
      <c r="L113" s="60"/>
      <c r="M113" s="60"/>
    </row>
    <row r="114" spans="1:13" x14ac:dyDescent="0.2">
      <c r="A114" s="60"/>
      <c r="B114" s="60"/>
      <c r="C114" s="60"/>
      <c r="D114" s="60"/>
      <c r="E114" s="60"/>
      <c r="F114" s="60"/>
      <c r="G114" s="60"/>
      <c r="H114" s="60"/>
      <c r="I114" s="60"/>
      <c r="J114" s="60"/>
      <c r="K114" s="60"/>
      <c r="L114" s="60"/>
      <c r="M114" s="60"/>
    </row>
    <row r="115" spans="1:13" x14ac:dyDescent="0.2">
      <c r="A115" s="60"/>
      <c r="B115" s="60"/>
      <c r="C115" s="60"/>
      <c r="D115" s="60"/>
      <c r="E115" s="60"/>
      <c r="F115" s="60"/>
      <c r="G115" s="60"/>
      <c r="H115" s="60"/>
      <c r="I115" s="60"/>
      <c r="J115" s="60"/>
      <c r="K115" s="60"/>
      <c r="L115" s="60"/>
      <c r="M115" s="60"/>
    </row>
    <row r="116" spans="1:13" x14ac:dyDescent="0.2">
      <c r="A116" s="60"/>
      <c r="B116" s="60"/>
      <c r="C116" s="60"/>
      <c r="D116" s="60"/>
      <c r="E116" s="60"/>
      <c r="F116" s="60"/>
      <c r="G116" s="60"/>
      <c r="H116" s="60"/>
      <c r="I116" s="60"/>
      <c r="J116" s="60"/>
      <c r="K116" s="60"/>
      <c r="L116" s="60"/>
      <c r="M116" s="60"/>
    </row>
    <row r="117" spans="1:13" x14ac:dyDescent="0.2">
      <c r="A117" s="60"/>
      <c r="B117" s="60"/>
      <c r="C117" s="60"/>
      <c r="D117" s="60"/>
      <c r="E117" s="60"/>
      <c r="F117" s="60"/>
      <c r="G117" s="60"/>
      <c r="H117" s="60"/>
      <c r="I117" s="60"/>
      <c r="J117" s="60"/>
      <c r="K117" s="60"/>
      <c r="L117" s="60"/>
      <c r="M117" s="60"/>
    </row>
    <row r="118" spans="1:13" x14ac:dyDescent="0.2">
      <c r="A118" s="60"/>
      <c r="B118" s="60"/>
      <c r="C118" s="60"/>
      <c r="D118" s="60"/>
      <c r="E118" s="60"/>
      <c r="F118" s="60"/>
      <c r="G118" s="60"/>
      <c r="H118" s="60"/>
      <c r="I118" s="60"/>
      <c r="J118" s="60"/>
      <c r="K118" s="60"/>
      <c r="L118" s="60"/>
      <c r="M118" s="60"/>
    </row>
    <row r="119" spans="1:13" x14ac:dyDescent="0.2">
      <c r="A119" s="60"/>
      <c r="B119" s="60"/>
      <c r="C119" s="60"/>
      <c r="D119" s="60"/>
      <c r="E119" s="60"/>
      <c r="F119" s="60"/>
      <c r="G119" s="60"/>
      <c r="H119" s="60"/>
      <c r="I119" s="60"/>
      <c r="J119" s="60"/>
      <c r="K119" s="60"/>
      <c r="L119" s="60"/>
      <c r="M119" s="60"/>
    </row>
    <row r="120" spans="1:13" x14ac:dyDescent="0.2">
      <c r="A120" s="60"/>
      <c r="B120" s="60"/>
      <c r="C120" s="60"/>
      <c r="D120" s="60"/>
      <c r="E120" s="60"/>
      <c r="F120" s="60"/>
      <c r="G120" s="60"/>
      <c r="H120" s="60"/>
      <c r="I120" s="60"/>
      <c r="J120" s="60"/>
      <c r="K120" s="60"/>
      <c r="L120" s="60"/>
      <c r="M120" s="60"/>
    </row>
    <row r="121" spans="1:13" x14ac:dyDescent="0.2">
      <c r="A121" s="60"/>
      <c r="B121" s="60"/>
      <c r="C121" s="60"/>
      <c r="D121" s="60"/>
      <c r="E121" s="60"/>
      <c r="F121" s="60"/>
      <c r="G121" s="60"/>
      <c r="H121" s="60"/>
      <c r="I121" s="60"/>
      <c r="J121" s="60"/>
      <c r="K121" s="60"/>
      <c r="L121" s="60"/>
      <c r="M121" s="60"/>
    </row>
  </sheetData>
  <pageMargins left="0.5" right="0.5" top="0.75" bottom="0.75" header="0.5" footer="0.5"/>
  <pageSetup orientation="landscape" r:id="rId1"/>
  <headerFooter alignWithMargins="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2:P102"/>
  <sheetViews>
    <sheetView zoomScaleNormal="100" workbookViewId="0">
      <pane xSplit="2" ySplit="6" topLeftCell="C69" activePane="bottomRight" state="frozen"/>
      <selection activeCell="L58" sqref="L58:L61"/>
      <selection pane="topRight" activeCell="L58" sqref="L58:L61"/>
      <selection pane="bottomLeft" activeCell="L58" sqref="L58:L61"/>
      <selection pane="bottomRight" activeCell="Q109" sqref="Q109"/>
    </sheetView>
  </sheetViews>
  <sheetFormatPr defaultColWidth="9.140625" defaultRowHeight="11.25" x14ac:dyDescent="0.2"/>
  <cols>
    <col min="1" max="1" width="6" style="60" customWidth="1"/>
    <col min="2" max="2" width="17.85546875" style="60" customWidth="1"/>
    <col min="3" max="4" width="9.85546875" style="60" customWidth="1"/>
    <col min="5" max="5" width="11.28515625" style="60" customWidth="1"/>
    <col min="6" max="7" width="9.5703125" style="60" customWidth="1"/>
    <col min="8" max="8" width="9.85546875" style="60" customWidth="1"/>
    <col min="9" max="9" width="10.42578125" style="60" customWidth="1"/>
    <col min="10" max="10" width="10.7109375" style="60" customWidth="1"/>
    <col min="11" max="14" width="9.140625" style="60"/>
    <col min="15" max="15" width="10.7109375" style="60" bestFit="1" customWidth="1"/>
    <col min="16" max="16384" width="9.140625" style="60"/>
  </cols>
  <sheetData>
    <row r="2" spans="1:15" x14ac:dyDescent="0.2">
      <c r="B2" s="134" t="s">
        <v>95</v>
      </c>
      <c r="C2" s="79"/>
    </row>
    <row r="3" spans="1:15" x14ac:dyDescent="0.2">
      <c r="C3" s="79"/>
    </row>
    <row r="4" spans="1:15" x14ac:dyDescent="0.2">
      <c r="C4" s="172"/>
      <c r="D4" s="172"/>
      <c r="E4" s="172"/>
      <c r="F4" s="172"/>
      <c r="G4" s="172"/>
      <c r="H4" s="173"/>
      <c r="I4" s="173"/>
      <c r="J4" s="134"/>
    </row>
    <row r="5" spans="1:15" x14ac:dyDescent="0.2">
      <c r="C5" s="172"/>
      <c r="D5" s="172"/>
      <c r="E5" s="172"/>
      <c r="F5" s="172"/>
      <c r="G5" s="172"/>
      <c r="H5" s="173"/>
      <c r="I5" s="173"/>
      <c r="J5" s="172"/>
    </row>
    <row r="6" spans="1:15" ht="9.9499999999999993" customHeight="1" x14ac:dyDescent="0.2">
      <c r="C6" s="82">
        <v>41425</v>
      </c>
      <c r="D6" s="83">
        <f t="shared" ref="D6:N6" si="0">EOMONTH(C6,1)</f>
        <v>41455</v>
      </c>
      <c r="E6" s="83">
        <f t="shared" si="0"/>
        <v>41486</v>
      </c>
      <c r="F6" s="83">
        <f t="shared" si="0"/>
        <v>41517</v>
      </c>
      <c r="G6" s="83">
        <f t="shared" si="0"/>
        <v>41547</v>
      </c>
      <c r="H6" s="83">
        <f t="shared" si="0"/>
        <v>41578</v>
      </c>
      <c r="I6" s="83">
        <f t="shared" si="0"/>
        <v>41608</v>
      </c>
      <c r="J6" s="83">
        <f t="shared" si="0"/>
        <v>41639</v>
      </c>
      <c r="K6" s="83">
        <f t="shared" si="0"/>
        <v>41670</v>
      </c>
      <c r="L6" s="83">
        <f t="shared" si="0"/>
        <v>41698</v>
      </c>
      <c r="M6" s="83">
        <f t="shared" si="0"/>
        <v>41729</v>
      </c>
      <c r="N6" s="83">
        <f t="shared" si="0"/>
        <v>41759</v>
      </c>
    </row>
    <row r="7" spans="1:15" s="61" customFormat="1" x14ac:dyDescent="0.2">
      <c r="A7" s="171" t="s">
        <v>34</v>
      </c>
      <c r="C7" s="174">
        <v>10.29</v>
      </c>
      <c r="D7" s="174">
        <v>8.58</v>
      </c>
      <c r="E7" s="174">
        <v>8.69</v>
      </c>
      <c r="F7" s="174">
        <v>7.27</v>
      </c>
      <c r="G7" s="174">
        <v>9.07</v>
      </c>
      <c r="H7" s="174">
        <v>8.19</v>
      </c>
      <c r="I7" s="174">
        <v>7.5</v>
      </c>
      <c r="J7" s="174">
        <v>8.9</v>
      </c>
      <c r="K7" s="174">
        <v>6.37</v>
      </c>
      <c r="L7" s="174">
        <v>5.12</v>
      </c>
      <c r="M7" s="174">
        <v>6.66</v>
      </c>
      <c r="N7" s="174">
        <v>5.4</v>
      </c>
    </row>
    <row r="8" spans="1:15" x14ac:dyDescent="0.2">
      <c r="A8" s="60" t="s">
        <v>35</v>
      </c>
      <c r="C8" s="86">
        <v>0</v>
      </c>
      <c r="D8" s="86">
        <v>0</v>
      </c>
      <c r="E8" s="86">
        <v>0</v>
      </c>
      <c r="F8" s="86">
        <v>0</v>
      </c>
      <c r="G8" s="86">
        <v>0</v>
      </c>
      <c r="H8" s="86">
        <v>0</v>
      </c>
      <c r="I8" s="86">
        <v>0</v>
      </c>
      <c r="J8" s="86">
        <v>0</v>
      </c>
      <c r="K8" s="86">
        <v>0</v>
      </c>
      <c r="L8" s="86">
        <v>0</v>
      </c>
      <c r="M8" s="86">
        <v>0</v>
      </c>
      <c r="N8" s="86">
        <v>0</v>
      </c>
    </row>
    <row r="9" spans="1:15" x14ac:dyDescent="0.2">
      <c r="A9" s="60" t="s">
        <v>36</v>
      </c>
      <c r="C9" s="87">
        <f t="shared" ref="C9:N9" si="1">+C7*C8</f>
        <v>0</v>
      </c>
      <c r="D9" s="87">
        <f t="shared" si="1"/>
        <v>0</v>
      </c>
      <c r="E9" s="87">
        <f t="shared" si="1"/>
        <v>0</v>
      </c>
      <c r="F9" s="87">
        <f t="shared" si="1"/>
        <v>0</v>
      </c>
      <c r="G9" s="87">
        <f t="shared" si="1"/>
        <v>0</v>
      </c>
      <c r="H9" s="87">
        <f t="shared" si="1"/>
        <v>0</v>
      </c>
      <c r="I9" s="87">
        <f t="shared" si="1"/>
        <v>0</v>
      </c>
      <c r="J9" s="87">
        <f t="shared" si="1"/>
        <v>0</v>
      </c>
      <c r="K9" s="87">
        <f t="shared" si="1"/>
        <v>0</v>
      </c>
      <c r="L9" s="87">
        <f t="shared" si="1"/>
        <v>0</v>
      </c>
      <c r="M9" s="87">
        <f t="shared" si="1"/>
        <v>0</v>
      </c>
      <c r="N9" s="87">
        <f t="shared" si="1"/>
        <v>0</v>
      </c>
    </row>
    <row r="10" spans="1:15" x14ac:dyDescent="0.2">
      <c r="A10" s="134" t="s">
        <v>37</v>
      </c>
      <c r="C10" s="88">
        <f t="shared" ref="C10:N10" si="2">+C7-C9</f>
        <v>10.29</v>
      </c>
      <c r="D10" s="88">
        <f t="shared" si="2"/>
        <v>8.58</v>
      </c>
      <c r="E10" s="88">
        <f t="shared" si="2"/>
        <v>8.69</v>
      </c>
      <c r="F10" s="88">
        <f t="shared" si="2"/>
        <v>7.27</v>
      </c>
      <c r="G10" s="88">
        <f t="shared" si="2"/>
        <v>9.07</v>
      </c>
      <c r="H10" s="88">
        <f t="shared" si="2"/>
        <v>8.19</v>
      </c>
      <c r="I10" s="88">
        <f t="shared" si="2"/>
        <v>7.5</v>
      </c>
      <c r="J10" s="88">
        <f t="shared" si="2"/>
        <v>8.9</v>
      </c>
      <c r="K10" s="88">
        <f t="shared" si="2"/>
        <v>6.37</v>
      </c>
      <c r="L10" s="88">
        <f t="shared" si="2"/>
        <v>5.12</v>
      </c>
      <c r="M10" s="88">
        <f t="shared" si="2"/>
        <v>6.66</v>
      </c>
      <c r="N10" s="88">
        <f t="shared" si="2"/>
        <v>5.4</v>
      </c>
      <c r="O10" s="88">
        <f>SUM(C10:N10)</f>
        <v>92.04</v>
      </c>
    </row>
    <row r="12" spans="1:15" x14ac:dyDescent="0.2">
      <c r="A12" s="134" t="s">
        <v>38</v>
      </c>
    </row>
    <row r="13" spans="1:15" s="89" customFormat="1" x14ac:dyDescent="0.2">
      <c r="B13" s="89" t="s">
        <v>24</v>
      </c>
      <c r="C13" s="90">
        <v>0.19500000000000001</v>
      </c>
      <c r="D13" s="90">
        <f>+C13</f>
        <v>0.19500000000000001</v>
      </c>
      <c r="E13" s="90">
        <f t="shared" ref="E13:N13" si="3">+D13</f>
        <v>0.19500000000000001</v>
      </c>
      <c r="F13" s="90">
        <f t="shared" si="3"/>
        <v>0.19500000000000001</v>
      </c>
      <c r="G13" s="90">
        <f t="shared" si="3"/>
        <v>0.19500000000000001</v>
      </c>
      <c r="H13" s="90">
        <f t="shared" si="3"/>
        <v>0.19500000000000001</v>
      </c>
      <c r="I13" s="90">
        <f t="shared" si="3"/>
        <v>0.19500000000000001</v>
      </c>
      <c r="J13" s="90">
        <f t="shared" si="3"/>
        <v>0.19500000000000001</v>
      </c>
      <c r="K13" s="90">
        <f t="shared" si="3"/>
        <v>0.19500000000000001</v>
      </c>
      <c r="L13" s="90">
        <f t="shared" si="3"/>
        <v>0.19500000000000001</v>
      </c>
      <c r="M13" s="90">
        <f t="shared" si="3"/>
        <v>0.19500000000000001</v>
      </c>
      <c r="N13" s="90">
        <f t="shared" si="3"/>
        <v>0.19500000000000001</v>
      </c>
    </row>
    <row r="14" spans="1:15" s="89" customFormat="1" x14ac:dyDescent="0.2">
      <c r="B14" s="89" t="s">
        <v>28</v>
      </c>
      <c r="C14" s="90">
        <v>0.1782</v>
      </c>
      <c r="D14" s="90">
        <f t="shared" ref="D14:N23" si="4">+C14</f>
        <v>0.1782</v>
      </c>
      <c r="E14" s="90">
        <f t="shared" si="4"/>
        <v>0.1782</v>
      </c>
      <c r="F14" s="90">
        <f t="shared" si="4"/>
        <v>0.1782</v>
      </c>
      <c r="G14" s="90">
        <f t="shared" si="4"/>
        <v>0.1782</v>
      </c>
      <c r="H14" s="90">
        <f t="shared" si="4"/>
        <v>0.1782</v>
      </c>
      <c r="I14" s="90">
        <f t="shared" si="4"/>
        <v>0.1782</v>
      </c>
      <c r="J14" s="90">
        <f t="shared" si="4"/>
        <v>0.1782</v>
      </c>
      <c r="K14" s="90">
        <f t="shared" si="4"/>
        <v>0.1782</v>
      </c>
      <c r="L14" s="90">
        <f t="shared" si="4"/>
        <v>0.1782</v>
      </c>
      <c r="M14" s="90">
        <f t="shared" si="4"/>
        <v>0.1782</v>
      </c>
      <c r="N14" s="90">
        <f t="shared" si="4"/>
        <v>0.1782</v>
      </c>
    </row>
    <row r="15" spans="1:15" s="89" customFormat="1" x14ac:dyDescent="0.2">
      <c r="B15" s="89" t="s">
        <v>39</v>
      </c>
      <c r="C15" s="90">
        <v>0</v>
      </c>
      <c r="D15" s="90">
        <f t="shared" si="4"/>
        <v>0</v>
      </c>
      <c r="E15" s="90">
        <f t="shared" si="4"/>
        <v>0</v>
      </c>
      <c r="F15" s="90">
        <f t="shared" si="4"/>
        <v>0</v>
      </c>
      <c r="G15" s="90">
        <f t="shared" si="4"/>
        <v>0</v>
      </c>
      <c r="H15" s="90">
        <f t="shared" si="4"/>
        <v>0</v>
      </c>
      <c r="I15" s="90">
        <f t="shared" si="4"/>
        <v>0</v>
      </c>
      <c r="J15" s="90">
        <f t="shared" si="4"/>
        <v>0</v>
      </c>
      <c r="K15" s="90">
        <f t="shared" si="4"/>
        <v>0</v>
      </c>
      <c r="L15" s="90">
        <f t="shared" si="4"/>
        <v>0</v>
      </c>
      <c r="M15" s="90">
        <f t="shared" si="4"/>
        <v>0</v>
      </c>
      <c r="N15" s="90">
        <f t="shared" si="4"/>
        <v>0</v>
      </c>
    </row>
    <row r="16" spans="1:15" s="89" customFormat="1" x14ac:dyDescent="0.2">
      <c r="B16" s="89" t="s">
        <v>40</v>
      </c>
      <c r="C16" s="90">
        <v>1.6500000000000001E-2</v>
      </c>
      <c r="D16" s="90">
        <f t="shared" si="4"/>
        <v>1.6500000000000001E-2</v>
      </c>
      <c r="E16" s="90">
        <f t="shared" si="4"/>
        <v>1.6500000000000001E-2</v>
      </c>
      <c r="F16" s="90">
        <f t="shared" si="4"/>
        <v>1.6500000000000001E-2</v>
      </c>
      <c r="G16" s="90">
        <f t="shared" si="4"/>
        <v>1.6500000000000001E-2</v>
      </c>
      <c r="H16" s="90">
        <f t="shared" si="4"/>
        <v>1.6500000000000001E-2</v>
      </c>
      <c r="I16" s="90">
        <f t="shared" si="4"/>
        <v>1.6500000000000001E-2</v>
      </c>
      <c r="J16" s="90">
        <f t="shared" si="4"/>
        <v>1.6500000000000001E-2</v>
      </c>
      <c r="K16" s="90">
        <f t="shared" si="4"/>
        <v>1.6500000000000001E-2</v>
      </c>
      <c r="L16" s="90">
        <f t="shared" si="4"/>
        <v>1.6500000000000001E-2</v>
      </c>
      <c r="M16" s="90">
        <f t="shared" si="4"/>
        <v>1.6500000000000001E-2</v>
      </c>
      <c r="N16" s="90">
        <f t="shared" si="4"/>
        <v>1.6500000000000001E-2</v>
      </c>
    </row>
    <row r="17" spans="1:14" s="89" customFormat="1" x14ac:dyDescent="0.2">
      <c r="B17" s="89" t="s">
        <v>41</v>
      </c>
      <c r="C17" s="90">
        <v>4.4900000000000002E-2</v>
      </c>
      <c r="D17" s="90">
        <f t="shared" si="4"/>
        <v>4.4900000000000002E-2</v>
      </c>
      <c r="E17" s="90">
        <f t="shared" si="4"/>
        <v>4.4900000000000002E-2</v>
      </c>
      <c r="F17" s="90">
        <f t="shared" si="4"/>
        <v>4.4900000000000002E-2</v>
      </c>
      <c r="G17" s="90">
        <f t="shared" si="4"/>
        <v>4.4900000000000002E-2</v>
      </c>
      <c r="H17" s="90">
        <f t="shared" si="4"/>
        <v>4.4900000000000002E-2</v>
      </c>
      <c r="I17" s="90">
        <f t="shared" si="4"/>
        <v>4.4900000000000002E-2</v>
      </c>
      <c r="J17" s="90">
        <f t="shared" si="4"/>
        <v>4.4900000000000002E-2</v>
      </c>
      <c r="K17" s="90">
        <f t="shared" si="4"/>
        <v>4.4900000000000002E-2</v>
      </c>
      <c r="L17" s="90">
        <f t="shared" si="4"/>
        <v>4.4900000000000002E-2</v>
      </c>
      <c r="M17" s="90">
        <f t="shared" si="4"/>
        <v>4.4900000000000002E-2</v>
      </c>
      <c r="N17" s="90">
        <f t="shared" si="4"/>
        <v>4.4900000000000002E-2</v>
      </c>
    </row>
    <row r="18" spans="1:14" s="89" customFormat="1" x14ac:dyDescent="0.2">
      <c r="B18" s="89" t="s">
        <v>42</v>
      </c>
      <c r="C18" s="90">
        <v>7.4999999999999997E-3</v>
      </c>
      <c r="D18" s="90">
        <f t="shared" si="4"/>
        <v>7.4999999999999997E-3</v>
      </c>
      <c r="E18" s="90">
        <f t="shared" si="4"/>
        <v>7.4999999999999997E-3</v>
      </c>
      <c r="F18" s="90">
        <f t="shared" si="4"/>
        <v>7.4999999999999997E-3</v>
      </c>
      <c r="G18" s="90">
        <f t="shared" si="4"/>
        <v>7.4999999999999997E-3</v>
      </c>
      <c r="H18" s="90">
        <f t="shared" si="4"/>
        <v>7.4999999999999997E-3</v>
      </c>
      <c r="I18" s="90">
        <f t="shared" si="4"/>
        <v>7.4999999999999997E-3</v>
      </c>
      <c r="J18" s="90">
        <f t="shared" si="4"/>
        <v>7.4999999999999997E-3</v>
      </c>
      <c r="K18" s="90">
        <f t="shared" si="4"/>
        <v>7.4999999999999997E-3</v>
      </c>
      <c r="L18" s="90">
        <f t="shared" si="4"/>
        <v>7.4999999999999997E-3</v>
      </c>
      <c r="M18" s="90">
        <f t="shared" si="4"/>
        <v>7.4999999999999997E-3</v>
      </c>
      <c r="N18" s="90">
        <f t="shared" si="4"/>
        <v>7.4999999999999997E-3</v>
      </c>
    </row>
    <row r="19" spans="1:14" s="89" customFormat="1" x14ac:dyDescent="0.2">
      <c r="B19" s="60" t="s">
        <v>43</v>
      </c>
      <c r="C19" s="90">
        <v>0</v>
      </c>
      <c r="D19" s="90">
        <f t="shared" si="4"/>
        <v>0</v>
      </c>
      <c r="E19" s="90">
        <f t="shared" si="4"/>
        <v>0</v>
      </c>
      <c r="F19" s="90">
        <f t="shared" si="4"/>
        <v>0</v>
      </c>
      <c r="G19" s="90">
        <f t="shared" si="4"/>
        <v>0</v>
      </c>
      <c r="H19" s="90">
        <f t="shared" si="4"/>
        <v>0</v>
      </c>
      <c r="I19" s="90">
        <f t="shared" si="4"/>
        <v>0</v>
      </c>
      <c r="J19" s="90">
        <f t="shared" si="4"/>
        <v>0</v>
      </c>
      <c r="K19" s="90">
        <f t="shared" si="4"/>
        <v>0</v>
      </c>
      <c r="L19" s="90">
        <f t="shared" si="4"/>
        <v>0</v>
      </c>
      <c r="M19" s="90">
        <f t="shared" si="4"/>
        <v>0</v>
      </c>
      <c r="N19" s="90">
        <f t="shared" si="4"/>
        <v>0</v>
      </c>
    </row>
    <row r="20" spans="1:14" s="89" customFormat="1" x14ac:dyDescent="0.2">
      <c r="B20" s="60" t="s">
        <v>22</v>
      </c>
      <c r="C20" s="90">
        <v>0.17680000000000001</v>
      </c>
      <c r="D20" s="90">
        <f t="shared" si="4"/>
        <v>0.17680000000000001</v>
      </c>
      <c r="E20" s="90">
        <f t="shared" si="4"/>
        <v>0.17680000000000001</v>
      </c>
      <c r="F20" s="90">
        <f t="shared" si="4"/>
        <v>0.17680000000000001</v>
      </c>
      <c r="G20" s="90">
        <f t="shared" si="4"/>
        <v>0.17680000000000001</v>
      </c>
      <c r="H20" s="90">
        <f t="shared" si="4"/>
        <v>0.17680000000000001</v>
      </c>
      <c r="I20" s="90">
        <f t="shared" si="4"/>
        <v>0.17680000000000001</v>
      </c>
      <c r="J20" s="90">
        <f t="shared" si="4"/>
        <v>0.17680000000000001</v>
      </c>
      <c r="K20" s="90">
        <f t="shared" si="4"/>
        <v>0.17680000000000001</v>
      </c>
      <c r="L20" s="90">
        <f t="shared" si="4"/>
        <v>0.17680000000000001</v>
      </c>
      <c r="M20" s="90">
        <f t="shared" si="4"/>
        <v>0.17680000000000001</v>
      </c>
      <c r="N20" s="90">
        <f t="shared" si="4"/>
        <v>0.17680000000000001</v>
      </c>
    </row>
    <row r="21" spans="1:14" s="89" customFormat="1" x14ac:dyDescent="0.2">
      <c r="B21" s="89" t="s">
        <v>44</v>
      </c>
      <c r="C21" s="90">
        <v>0</v>
      </c>
      <c r="D21" s="90">
        <f t="shared" si="4"/>
        <v>0</v>
      </c>
      <c r="E21" s="90">
        <f t="shared" si="4"/>
        <v>0</v>
      </c>
      <c r="F21" s="90">
        <f t="shared" si="4"/>
        <v>0</v>
      </c>
      <c r="G21" s="90">
        <f t="shared" si="4"/>
        <v>0</v>
      </c>
      <c r="H21" s="90">
        <f t="shared" si="4"/>
        <v>0</v>
      </c>
      <c r="I21" s="90">
        <f t="shared" si="4"/>
        <v>0</v>
      </c>
      <c r="J21" s="90">
        <f t="shared" si="4"/>
        <v>0</v>
      </c>
      <c r="K21" s="90">
        <f t="shared" si="4"/>
        <v>0</v>
      </c>
      <c r="L21" s="90">
        <f t="shared" si="4"/>
        <v>0</v>
      </c>
      <c r="M21" s="90">
        <f t="shared" si="4"/>
        <v>0</v>
      </c>
      <c r="N21" s="90">
        <f t="shared" si="4"/>
        <v>0</v>
      </c>
    </row>
    <row r="22" spans="1:14" s="89" customFormat="1" x14ac:dyDescent="0.2">
      <c r="B22" s="89" t="s">
        <v>45</v>
      </c>
      <c r="C22" s="90">
        <v>5.930000000000013E-2</v>
      </c>
      <c r="D22" s="90">
        <f t="shared" si="4"/>
        <v>5.930000000000013E-2</v>
      </c>
      <c r="E22" s="90">
        <f t="shared" si="4"/>
        <v>5.930000000000013E-2</v>
      </c>
      <c r="F22" s="90">
        <f t="shared" si="4"/>
        <v>5.930000000000013E-2</v>
      </c>
      <c r="G22" s="90">
        <f t="shared" si="4"/>
        <v>5.930000000000013E-2</v>
      </c>
      <c r="H22" s="90">
        <f t="shared" si="4"/>
        <v>5.930000000000013E-2</v>
      </c>
      <c r="I22" s="90">
        <f t="shared" si="4"/>
        <v>5.930000000000013E-2</v>
      </c>
      <c r="J22" s="90">
        <f t="shared" si="4"/>
        <v>5.930000000000013E-2</v>
      </c>
      <c r="K22" s="90">
        <f t="shared" si="4"/>
        <v>5.930000000000013E-2</v>
      </c>
      <c r="L22" s="90">
        <f t="shared" si="4"/>
        <v>5.930000000000013E-2</v>
      </c>
      <c r="M22" s="90">
        <f t="shared" si="4"/>
        <v>5.930000000000013E-2</v>
      </c>
      <c r="N22" s="90">
        <f t="shared" si="4"/>
        <v>5.930000000000013E-2</v>
      </c>
    </row>
    <row r="23" spans="1:14" s="89" customFormat="1" x14ac:dyDescent="0.2">
      <c r="B23" s="89" t="s">
        <v>46</v>
      </c>
      <c r="C23" s="91">
        <v>0.32179999999999997</v>
      </c>
      <c r="D23" s="90">
        <f t="shared" si="4"/>
        <v>0.32179999999999997</v>
      </c>
      <c r="E23" s="90">
        <f t="shared" si="4"/>
        <v>0.32179999999999997</v>
      </c>
      <c r="F23" s="90">
        <f t="shared" si="4"/>
        <v>0.32179999999999997</v>
      </c>
      <c r="G23" s="90">
        <f t="shared" si="4"/>
        <v>0.32179999999999997</v>
      </c>
      <c r="H23" s="90">
        <f t="shared" si="4"/>
        <v>0.32179999999999997</v>
      </c>
      <c r="I23" s="90">
        <f t="shared" si="4"/>
        <v>0.32179999999999997</v>
      </c>
      <c r="J23" s="90">
        <f t="shared" si="4"/>
        <v>0.32179999999999997</v>
      </c>
      <c r="K23" s="90">
        <f t="shared" si="4"/>
        <v>0.32179999999999997</v>
      </c>
      <c r="L23" s="90">
        <f t="shared" si="4"/>
        <v>0.32179999999999997</v>
      </c>
      <c r="M23" s="90">
        <f t="shared" si="4"/>
        <v>0.32179999999999997</v>
      </c>
      <c r="N23" s="90">
        <f t="shared" si="4"/>
        <v>0.32179999999999997</v>
      </c>
    </row>
    <row r="24" spans="1:14" x14ac:dyDescent="0.2">
      <c r="C24" s="92">
        <v>1</v>
      </c>
      <c r="D24" s="92">
        <v>1</v>
      </c>
      <c r="E24" s="92">
        <v>1</v>
      </c>
      <c r="F24" s="92">
        <v>1</v>
      </c>
      <c r="G24" s="92">
        <v>1</v>
      </c>
      <c r="H24" s="92">
        <v>1</v>
      </c>
      <c r="I24" s="92">
        <v>1</v>
      </c>
      <c r="J24" s="92">
        <v>1</v>
      </c>
      <c r="K24" s="92">
        <v>1</v>
      </c>
      <c r="L24" s="92">
        <v>1</v>
      </c>
      <c r="M24" s="92">
        <v>1</v>
      </c>
      <c r="N24" s="92">
        <v>1</v>
      </c>
    </row>
    <row r="26" spans="1:14" x14ac:dyDescent="0.2">
      <c r="A26" s="134" t="s">
        <v>47</v>
      </c>
    </row>
    <row r="27" spans="1:14" x14ac:dyDescent="0.2">
      <c r="B27" s="60" t="s">
        <v>24</v>
      </c>
      <c r="C27" s="70">
        <f>+C$10*C13</f>
        <v>2.0065499999999998</v>
      </c>
      <c r="D27" s="70">
        <f t="shared" ref="D27:N27" si="5">+D$10*D13</f>
        <v>1.6731</v>
      </c>
      <c r="E27" s="70">
        <f t="shared" si="5"/>
        <v>1.69455</v>
      </c>
      <c r="F27" s="70">
        <f t="shared" si="5"/>
        <v>1.4176499999999999</v>
      </c>
      <c r="G27" s="70">
        <f t="shared" si="5"/>
        <v>1.7686500000000001</v>
      </c>
      <c r="H27" s="70">
        <f t="shared" si="5"/>
        <v>1.5970499999999999</v>
      </c>
      <c r="I27" s="70">
        <f t="shared" si="5"/>
        <v>1.4625000000000001</v>
      </c>
      <c r="J27" s="70">
        <f t="shared" si="5"/>
        <v>1.7355</v>
      </c>
      <c r="K27" s="70">
        <f t="shared" si="5"/>
        <v>1.2421500000000001</v>
      </c>
      <c r="L27" s="70">
        <f t="shared" si="5"/>
        <v>0.99840000000000007</v>
      </c>
      <c r="M27" s="70">
        <f t="shared" si="5"/>
        <v>1.2987</v>
      </c>
      <c r="N27" s="70">
        <f t="shared" si="5"/>
        <v>1.0530000000000002</v>
      </c>
    </row>
    <row r="28" spans="1:14" x14ac:dyDescent="0.2">
      <c r="B28" s="60" t="s">
        <v>28</v>
      </c>
      <c r="C28" s="70">
        <f t="shared" ref="C28:N37" si="6">+C$10*C14</f>
        <v>1.8336779999999999</v>
      </c>
      <c r="D28" s="70">
        <f t="shared" si="6"/>
        <v>1.528956</v>
      </c>
      <c r="E28" s="70">
        <f t="shared" si="6"/>
        <v>1.5485579999999999</v>
      </c>
      <c r="F28" s="70">
        <f t="shared" si="6"/>
        <v>1.2955139999999998</v>
      </c>
      <c r="G28" s="70">
        <f t="shared" si="6"/>
        <v>1.616274</v>
      </c>
      <c r="H28" s="70">
        <f t="shared" si="6"/>
        <v>1.4594579999999999</v>
      </c>
      <c r="I28" s="70">
        <f t="shared" si="6"/>
        <v>1.3365</v>
      </c>
      <c r="J28" s="70">
        <f t="shared" si="6"/>
        <v>1.5859799999999999</v>
      </c>
      <c r="K28" s="70">
        <f t="shared" si="6"/>
        <v>1.1351340000000001</v>
      </c>
      <c r="L28" s="70">
        <f t="shared" si="6"/>
        <v>0.91238399999999997</v>
      </c>
      <c r="M28" s="70">
        <f t="shared" si="6"/>
        <v>1.186812</v>
      </c>
      <c r="N28" s="70">
        <f t="shared" si="6"/>
        <v>0.96228000000000002</v>
      </c>
    </row>
    <row r="29" spans="1:14" x14ac:dyDescent="0.2">
      <c r="B29" s="60" t="s">
        <v>39</v>
      </c>
      <c r="C29" s="70">
        <f t="shared" si="6"/>
        <v>0</v>
      </c>
      <c r="D29" s="70">
        <f t="shared" si="6"/>
        <v>0</v>
      </c>
      <c r="E29" s="70">
        <f t="shared" si="6"/>
        <v>0</v>
      </c>
      <c r="F29" s="70">
        <f t="shared" si="6"/>
        <v>0</v>
      </c>
      <c r="G29" s="70">
        <f t="shared" si="6"/>
        <v>0</v>
      </c>
      <c r="H29" s="70">
        <f t="shared" si="6"/>
        <v>0</v>
      </c>
      <c r="I29" s="70">
        <f t="shared" si="6"/>
        <v>0</v>
      </c>
      <c r="J29" s="70">
        <f t="shared" si="6"/>
        <v>0</v>
      </c>
      <c r="K29" s="70">
        <f t="shared" si="6"/>
        <v>0</v>
      </c>
      <c r="L29" s="70">
        <f t="shared" si="6"/>
        <v>0</v>
      </c>
      <c r="M29" s="70">
        <f t="shared" si="6"/>
        <v>0</v>
      </c>
      <c r="N29" s="70">
        <f t="shared" si="6"/>
        <v>0</v>
      </c>
    </row>
    <row r="30" spans="1:14" x14ac:dyDescent="0.2">
      <c r="B30" s="60" t="s">
        <v>40</v>
      </c>
      <c r="C30" s="70">
        <f t="shared" si="6"/>
        <v>0.16978499999999999</v>
      </c>
      <c r="D30" s="70">
        <f t="shared" si="6"/>
        <v>0.14157</v>
      </c>
      <c r="E30" s="70">
        <f t="shared" si="6"/>
        <v>0.14338499999999998</v>
      </c>
      <c r="F30" s="70">
        <f t="shared" si="6"/>
        <v>0.11995499999999999</v>
      </c>
      <c r="G30" s="70">
        <f t="shared" si="6"/>
        <v>0.14965500000000001</v>
      </c>
      <c r="H30" s="70">
        <f t="shared" si="6"/>
        <v>0.13513500000000001</v>
      </c>
      <c r="I30" s="70">
        <f t="shared" si="6"/>
        <v>0.12375</v>
      </c>
      <c r="J30" s="70">
        <f t="shared" si="6"/>
        <v>0.14685000000000001</v>
      </c>
      <c r="K30" s="70">
        <f t="shared" si="6"/>
        <v>0.105105</v>
      </c>
      <c r="L30" s="70">
        <f t="shared" si="6"/>
        <v>8.448E-2</v>
      </c>
      <c r="M30" s="70">
        <f t="shared" si="6"/>
        <v>0.10989</v>
      </c>
      <c r="N30" s="70">
        <f t="shared" si="6"/>
        <v>8.9100000000000013E-2</v>
      </c>
    </row>
    <row r="31" spans="1:14" x14ac:dyDescent="0.2">
      <c r="B31" s="60" t="s">
        <v>41</v>
      </c>
      <c r="C31" s="70">
        <f t="shared" si="6"/>
        <v>0.46202099999999996</v>
      </c>
      <c r="D31" s="70">
        <f t="shared" si="6"/>
        <v>0.38524200000000003</v>
      </c>
      <c r="E31" s="70">
        <f t="shared" si="6"/>
        <v>0.390181</v>
      </c>
      <c r="F31" s="70">
        <f t="shared" si="6"/>
        <v>0.32642300000000002</v>
      </c>
      <c r="G31" s="70">
        <f t="shared" si="6"/>
        <v>0.40724300000000002</v>
      </c>
      <c r="H31" s="70">
        <f t="shared" si="6"/>
        <v>0.36773099999999997</v>
      </c>
      <c r="I31" s="70">
        <f t="shared" si="6"/>
        <v>0.33674999999999999</v>
      </c>
      <c r="J31" s="70">
        <f t="shared" si="6"/>
        <v>0.39961000000000002</v>
      </c>
      <c r="K31" s="70">
        <f t="shared" si="6"/>
        <v>0.28601300000000002</v>
      </c>
      <c r="L31" s="70">
        <f t="shared" si="6"/>
        <v>0.22988800000000001</v>
      </c>
      <c r="M31" s="70">
        <f t="shared" si="6"/>
        <v>0.29903400000000002</v>
      </c>
      <c r="N31" s="70">
        <f t="shared" si="6"/>
        <v>0.24246000000000004</v>
      </c>
    </row>
    <row r="32" spans="1:14" x14ac:dyDescent="0.2">
      <c r="B32" s="60" t="s">
        <v>42</v>
      </c>
      <c r="C32" s="70">
        <f t="shared" si="6"/>
        <v>7.7174999999999994E-2</v>
      </c>
      <c r="D32" s="70">
        <f t="shared" si="6"/>
        <v>6.4350000000000004E-2</v>
      </c>
      <c r="E32" s="70">
        <f t="shared" si="6"/>
        <v>6.5174999999999997E-2</v>
      </c>
      <c r="F32" s="70">
        <f t="shared" si="6"/>
        <v>5.4524999999999997E-2</v>
      </c>
      <c r="G32" s="70">
        <f t="shared" si="6"/>
        <v>6.8025000000000002E-2</v>
      </c>
      <c r="H32" s="70">
        <f t="shared" si="6"/>
        <v>6.1424999999999993E-2</v>
      </c>
      <c r="I32" s="70">
        <f t="shared" si="6"/>
        <v>5.6249999999999994E-2</v>
      </c>
      <c r="J32" s="70">
        <f t="shared" si="6"/>
        <v>6.6750000000000004E-2</v>
      </c>
      <c r="K32" s="70">
        <f t="shared" si="6"/>
        <v>4.7774999999999998E-2</v>
      </c>
      <c r="L32" s="70">
        <f t="shared" si="6"/>
        <v>3.8399999999999997E-2</v>
      </c>
      <c r="M32" s="70">
        <f t="shared" si="6"/>
        <v>4.9950000000000001E-2</v>
      </c>
      <c r="N32" s="70">
        <f t="shared" si="6"/>
        <v>4.0500000000000001E-2</v>
      </c>
    </row>
    <row r="33" spans="1:14" x14ac:dyDescent="0.2">
      <c r="B33" s="60" t="s">
        <v>43</v>
      </c>
      <c r="C33" s="70">
        <f t="shared" si="6"/>
        <v>0</v>
      </c>
      <c r="D33" s="70">
        <f t="shared" si="6"/>
        <v>0</v>
      </c>
      <c r="E33" s="70">
        <f t="shared" si="6"/>
        <v>0</v>
      </c>
      <c r="F33" s="70">
        <f t="shared" si="6"/>
        <v>0</v>
      </c>
      <c r="G33" s="70">
        <f t="shared" si="6"/>
        <v>0</v>
      </c>
      <c r="H33" s="70">
        <f t="shared" si="6"/>
        <v>0</v>
      </c>
      <c r="I33" s="70">
        <f t="shared" si="6"/>
        <v>0</v>
      </c>
      <c r="J33" s="70">
        <f t="shared" si="6"/>
        <v>0</v>
      </c>
      <c r="K33" s="70">
        <f t="shared" si="6"/>
        <v>0</v>
      </c>
      <c r="L33" s="70">
        <f t="shared" si="6"/>
        <v>0</v>
      </c>
      <c r="M33" s="70">
        <f t="shared" si="6"/>
        <v>0</v>
      </c>
      <c r="N33" s="70">
        <f t="shared" si="6"/>
        <v>0</v>
      </c>
    </row>
    <row r="34" spans="1:14" x14ac:dyDescent="0.2">
      <c r="B34" s="60" t="s">
        <v>22</v>
      </c>
      <c r="C34" s="70">
        <f t="shared" si="6"/>
        <v>1.819272</v>
      </c>
      <c r="D34" s="70">
        <f t="shared" si="6"/>
        <v>1.5169440000000001</v>
      </c>
      <c r="E34" s="70">
        <f t="shared" si="6"/>
        <v>1.536392</v>
      </c>
      <c r="F34" s="70">
        <f t="shared" si="6"/>
        <v>1.285336</v>
      </c>
      <c r="G34" s="70">
        <f t="shared" si="6"/>
        <v>1.6035760000000001</v>
      </c>
      <c r="H34" s="70">
        <f t="shared" si="6"/>
        <v>1.4479919999999999</v>
      </c>
      <c r="I34" s="70">
        <f t="shared" si="6"/>
        <v>1.3260000000000001</v>
      </c>
      <c r="J34" s="70">
        <f t="shared" si="6"/>
        <v>1.5735200000000003</v>
      </c>
      <c r="K34" s="70">
        <f t="shared" si="6"/>
        <v>1.1262160000000001</v>
      </c>
      <c r="L34" s="70">
        <f t="shared" si="6"/>
        <v>0.90521600000000013</v>
      </c>
      <c r="M34" s="70">
        <f t="shared" si="6"/>
        <v>1.1774880000000001</v>
      </c>
      <c r="N34" s="70">
        <f t="shared" si="6"/>
        <v>0.95472000000000012</v>
      </c>
    </row>
    <row r="35" spans="1:14" x14ac:dyDescent="0.2">
      <c r="B35" s="60" t="s">
        <v>44</v>
      </c>
      <c r="C35" s="70">
        <f t="shared" si="6"/>
        <v>0</v>
      </c>
      <c r="D35" s="70">
        <f t="shared" si="6"/>
        <v>0</v>
      </c>
      <c r="E35" s="70">
        <f t="shared" si="6"/>
        <v>0</v>
      </c>
      <c r="F35" s="70">
        <f t="shared" si="6"/>
        <v>0</v>
      </c>
      <c r="G35" s="70">
        <f t="shared" si="6"/>
        <v>0</v>
      </c>
      <c r="H35" s="70">
        <f t="shared" si="6"/>
        <v>0</v>
      </c>
      <c r="I35" s="70">
        <f t="shared" si="6"/>
        <v>0</v>
      </c>
      <c r="J35" s="70">
        <f t="shared" si="6"/>
        <v>0</v>
      </c>
      <c r="K35" s="70">
        <f t="shared" si="6"/>
        <v>0</v>
      </c>
      <c r="L35" s="70">
        <f t="shared" si="6"/>
        <v>0</v>
      </c>
      <c r="M35" s="70">
        <f t="shared" si="6"/>
        <v>0</v>
      </c>
      <c r="N35" s="70">
        <f t="shared" si="6"/>
        <v>0</v>
      </c>
    </row>
    <row r="36" spans="1:14" x14ac:dyDescent="0.2">
      <c r="B36" s="60" t="s">
        <v>45</v>
      </c>
      <c r="C36" s="70">
        <f t="shared" si="6"/>
        <v>0.61019700000000132</v>
      </c>
      <c r="D36" s="70">
        <f t="shared" si="6"/>
        <v>0.50879400000000108</v>
      </c>
      <c r="E36" s="70">
        <f t="shared" si="6"/>
        <v>0.51531700000000114</v>
      </c>
      <c r="F36" s="70">
        <f t="shared" si="6"/>
        <v>0.43111100000000091</v>
      </c>
      <c r="G36" s="70">
        <f t="shared" si="6"/>
        <v>0.53785100000000119</v>
      </c>
      <c r="H36" s="70">
        <f t="shared" si="6"/>
        <v>0.48566700000000101</v>
      </c>
      <c r="I36" s="70">
        <f t="shared" si="6"/>
        <v>0.44475000000000098</v>
      </c>
      <c r="J36" s="70">
        <f t="shared" si="6"/>
        <v>0.52777000000000118</v>
      </c>
      <c r="K36" s="70">
        <f t="shared" si="6"/>
        <v>0.37774100000000083</v>
      </c>
      <c r="L36" s="70">
        <f t="shared" si="6"/>
        <v>0.30361600000000066</v>
      </c>
      <c r="M36" s="70">
        <f t="shared" si="6"/>
        <v>0.3949380000000009</v>
      </c>
      <c r="N36" s="70">
        <f t="shared" si="6"/>
        <v>0.32022000000000073</v>
      </c>
    </row>
    <row r="37" spans="1:14" x14ac:dyDescent="0.2">
      <c r="B37" s="60" t="s">
        <v>46</v>
      </c>
      <c r="C37" s="87">
        <f t="shared" si="6"/>
        <v>3.3113219999999997</v>
      </c>
      <c r="D37" s="87">
        <f t="shared" si="6"/>
        <v>2.7610439999999996</v>
      </c>
      <c r="E37" s="87">
        <f t="shared" si="6"/>
        <v>2.7964419999999994</v>
      </c>
      <c r="F37" s="87">
        <f t="shared" si="6"/>
        <v>2.3394859999999995</v>
      </c>
      <c r="G37" s="87">
        <f t="shared" si="6"/>
        <v>2.9187259999999999</v>
      </c>
      <c r="H37" s="87">
        <f t="shared" si="6"/>
        <v>2.6355419999999996</v>
      </c>
      <c r="I37" s="87">
        <f t="shared" si="6"/>
        <v>2.4135</v>
      </c>
      <c r="J37" s="87">
        <f t="shared" si="6"/>
        <v>2.86402</v>
      </c>
      <c r="K37" s="87">
        <f t="shared" si="6"/>
        <v>2.0498659999999997</v>
      </c>
      <c r="L37" s="87">
        <f t="shared" si="6"/>
        <v>1.647616</v>
      </c>
      <c r="M37" s="87">
        <f t="shared" si="6"/>
        <v>2.1431879999999999</v>
      </c>
      <c r="N37" s="87">
        <f t="shared" si="6"/>
        <v>1.7377199999999999</v>
      </c>
    </row>
    <row r="38" spans="1:14" x14ac:dyDescent="0.2">
      <c r="C38" s="70">
        <f>SUM(C27:C37)</f>
        <v>10.29</v>
      </c>
      <c r="D38" s="70">
        <f t="shared" ref="D38:N38" si="7">SUM(D27:D37)</f>
        <v>8.58</v>
      </c>
      <c r="E38" s="70">
        <f t="shared" si="7"/>
        <v>8.6900000000000013</v>
      </c>
      <c r="F38" s="70">
        <f t="shared" si="7"/>
        <v>7.27</v>
      </c>
      <c r="G38" s="70">
        <f t="shared" si="7"/>
        <v>9.0700000000000021</v>
      </c>
      <c r="H38" s="70">
        <f t="shared" si="7"/>
        <v>8.1900000000000013</v>
      </c>
      <c r="I38" s="70">
        <f t="shared" si="7"/>
        <v>7.5000000000000009</v>
      </c>
      <c r="J38" s="70">
        <f t="shared" si="7"/>
        <v>8.9000000000000021</v>
      </c>
      <c r="K38" s="70">
        <f t="shared" si="7"/>
        <v>6.3700000000000019</v>
      </c>
      <c r="L38" s="70">
        <f t="shared" si="7"/>
        <v>5.120000000000001</v>
      </c>
      <c r="M38" s="70">
        <f t="shared" si="7"/>
        <v>6.66</v>
      </c>
      <c r="N38" s="70">
        <f t="shared" si="7"/>
        <v>5.4000000000000012</v>
      </c>
    </row>
    <row r="40" spans="1:14" x14ac:dyDescent="0.2">
      <c r="A40" s="134" t="s">
        <v>48</v>
      </c>
    </row>
    <row r="41" spans="1:14" x14ac:dyDescent="0.2">
      <c r="B41" s="60" t="s">
        <v>24</v>
      </c>
      <c r="C41" s="175">
        <v>1</v>
      </c>
      <c r="D41" s="94">
        <v>1</v>
      </c>
      <c r="E41" s="94">
        <v>1</v>
      </c>
      <c r="F41" s="94">
        <v>1</v>
      </c>
      <c r="G41" s="94">
        <v>1</v>
      </c>
      <c r="H41" s="94">
        <v>1</v>
      </c>
      <c r="I41" s="94">
        <v>1</v>
      </c>
      <c r="J41" s="94">
        <v>1</v>
      </c>
      <c r="K41" s="94">
        <v>1</v>
      </c>
      <c r="L41" s="94">
        <v>1</v>
      </c>
      <c r="M41" s="94">
        <v>1</v>
      </c>
      <c r="N41" s="94">
        <v>1</v>
      </c>
    </row>
    <row r="42" spans="1:14" x14ac:dyDescent="0.2">
      <c r="B42" s="60" t="s">
        <v>28</v>
      </c>
      <c r="C42" s="175">
        <v>1</v>
      </c>
      <c r="D42" s="94">
        <v>1</v>
      </c>
      <c r="E42" s="94">
        <v>1</v>
      </c>
      <c r="F42" s="94">
        <v>1</v>
      </c>
      <c r="G42" s="94">
        <v>1</v>
      </c>
      <c r="H42" s="94">
        <v>1</v>
      </c>
      <c r="I42" s="94">
        <v>1</v>
      </c>
      <c r="J42" s="94">
        <v>1</v>
      </c>
      <c r="K42" s="94">
        <v>1</v>
      </c>
      <c r="L42" s="94">
        <v>1</v>
      </c>
      <c r="M42" s="94">
        <v>1</v>
      </c>
      <c r="N42" s="94">
        <v>1</v>
      </c>
    </row>
    <row r="43" spans="1:14" x14ac:dyDescent="0.2">
      <c r="B43" s="60" t="s">
        <v>39</v>
      </c>
      <c r="C43" s="175">
        <v>1</v>
      </c>
      <c r="D43" s="94">
        <v>1</v>
      </c>
      <c r="E43" s="94">
        <v>1</v>
      </c>
      <c r="F43" s="94">
        <v>1</v>
      </c>
      <c r="G43" s="94">
        <v>1</v>
      </c>
      <c r="H43" s="94">
        <v>1</v>
      </c>
      <c r="I43" s="94">
        <v>1</v>
      </c>
      <c r="J43" s="94">
        <v>1</v>
      </c>
      <c r="K43" s="94">
        <v>1</v>
      </c>
      <c r="L43" s="94">
        <v>1</v>
      </c>
      <c r="M43" s="94">
        <v>1</v>
      </c>
      <c r="N43" s="94">
        <v>1</v>
      </c>
    </row>
    <row r="44" spans="1:14" x14ac:dyDescent="0.2">
      <c r="B44" s="60" t="s">
        <v>40</v>
      </c>
      <c r="C44" s="175">
        <v>1</v>
      </c>
      <c r="D44" s="94">
        <v>1</v>
      </c>
      <c r="E44" s="94">
        <v>1</v>
      </c>
      <c r="F44" s="94">
        <v>1</v>
      </c>
      <c r="G44" s="94">
        <v>1</v>
      </c>
      <c r="H44" s="94">
        <v>1</v>
      </c>
      <c r="I44" s="94">
        <v>1</v>
      </c>
      <c r="J44" s="94">
        <v>1</v>
      </c>
      <c r="K44" s="94">
        <v>1</v>
      </c>
      <c r="L44" s="94">
        <v>1</v>
      </c>
      <c r="M44" s="94">
        <v>1</v>
      </c>
      <c r="N44" s="94">
        <v>1</v>
      </c>
    </row>
    <row r="45" spans="1:14" x14ac:dyDescent="0.2">
      <c r="B45" s="60" t="s">
        <v>41</v>
      </c>
      <c r="C45" s="175">
        <v>1</v>
      </c>
      <c r="D45" s="94">
        <v>1</v>
      </c>
      <c r="E45" s="94">
        <v>1</v>
      </c>
      <c r="F45" s="94">
        <v>1</v>
      </c>
      <c r="G45" s="94">
        <v>1</v>
      </c>
      <c r="H45" s="94">
        <v>1</v>
      </c>
      <c r="I45" s="94">
        <v>1</v>
      </c>
      <c r="J45" s="94">
        <v>1</v>
      </c>
      <c r="K45" s="94">
        <v>1</v>
      </c>
      <c r="L45" s="94">
        <v>1</v>
      </c>
      <c r="M45" s="94">
        <v>1</v>
      </c>
      <c r="N45" s="94">
        <v>1</v>
      </c>
    </row>
    <row r="46" spans="1:14" x14ac:dyDescent="0.2">
      <c r="B46" s="60" t="s">
        <v>42</v>
      </c>
      <c r="C46" s="175">
        <v>1</v>
      </c>
      <c r="D46" s="94">
        <v>1</v>
      </c>
      <c r="E46" s="94">
        <v>1</v>
      </c>
      <c r="F46" s="94">
        <v>1</v>
      </c>
      <c r="G46" s="94">
        <v>1</v>
      </c>
      <c r="H46" s="94">
        <v>1</v>
      </c>
      <c r="I46" s="94">
        <v>1</v>
      </c>
      <c r="J46" s="94">
        <v>1</v>
      </c>
      <c r="K46" s="94">
        <v>1</v>
      </c>
      <c r="L46" s="94">
        <v>1</v>
      </c>
      <c r="M46" s="94">
        <v>1</v>
      </c>
      <c r="N46" s="94">
        <v>1</v>
      </c>
    </row>
    <row r="47" spans="1:14" x14ac:dyDescent="0.2">
      <c r="B47" s="60" t="s">
        <v>43</v>
      </c>
      <c r="C47" s="175">
        <v>1</v>
      </c>
      <c r="D47" s="94">
        <v>1</v>
      </c>
      <c r="E47" s="94">
        <v>1</v>
      </c>
      <c r="F47" s="94">
        <v>1</v>
      </c>
      <c r="G47" s="94">
        <v>1</v>
      </c>
      <c r="H47" s="94">
        <v>1</v>
      </c>
      <c r="I47" s="94">
        <v>1</v>
      </c>
      <c r="J47" s="94">
        <v>1</v>
      </c>
      <c r="K47" s="94">
        <v>1</v>
      </c>
      <c r="L47" s="94">
        <v>1</v>
      </c>
      <c r="M47" s="94">
        <v>1</v>
      </c>
      <c r="N47" s="94">
        <v>1</v>
      </c>
    </row>
    <row r="48" spans="1:14" x14ac:dyDescent="0.2">
      <c r="B48" s="60" t="s">
        <v>22</v>
      </c>
      <c r="C48" s="175">
        <v>1</v>
      </c>
      <c r="D48" s="94">
        <v>1</v>
      </c>
      <c r="E48" s="94">
        <v>1</v>
      </c>
      <c r="F48" s="94">
        <v>1</v>
      </c>
      <c r="G48" s="94">
        <v>1</v>
      </c>
      <c r="H48" s="94">
        <v>1</v>
      </c>
      <c r="I48" s="94">
        <v>1</v>
      </c>
      <c r="J48" s="94">
        <v>1</v>
      </c>
      <c r="K48" s="94">
        <v>1</v>
      </c>
      <c r="L48" s="94">
        <v>1</v>
      </c>
      <c r="M48" s="94">
        <v>1</v>
      </c>
      <c r="N48" s="94">
        <v>1</v>
      </c>
    </row>
    <row r="49" spans="1:14" x14ac:dyDescent="0.2">
      <c r="B49" s="60" t="s">
        <v>44</v>
      </c>
      <c r="C49" s="175">
        <v>1</v>
      </c>
      <c r="D49" s="94">
        <v>1</v>
      </c>
      <c r="E49" s="94">
        <v>1</v>
      </c>
      <c r="F49" s="94">
        <v>1</v>
      </c>
      <c r="G49" s="94">
        <v>1</v>
      </c>
      <c r="H49" s="94">
        <v>1</v>
      </c>
      <c r="I49" s="94">
        <v>1</v>
      </c>
      <c r="J49" s="94">
        <v>1</v>
      </c>
      <c r="K49" s="94">
        <v>1</v>
      </c>
      <c r="L49" s="94">
        <v>1</v>
      </c>
      <c r="M49" s="94">
        <v>1</v>
      </c>
      <c r="N49" s="94">
        <v>1</v>
      </c>
    </row>
    <row r="50" spans="1:14" x14ac:dyDescent="0.2">
      <c r="B50" s="60" t="s">
        <v>45</v>
      </c>
      <c r="C50" s="175">
        <v>1</v>
      </c>
      <c r="D50" s="94">
        <v>1</v>
      </c>
      <c r="E50" s="94">
        <v>1</v>
      </c>
      <c r="F50" s="94">
        <v>1</v>
      </c>
      <c r="G50" s="94">
        <v>1</v>
      </c>
      <c r="H50" s="94">
        <v>1</v>
      </c>
      <c r="I50" s="94">
        <v>1</v>
      </c>
      <c r="J50" s="94">
        <v>1</v>
      </c>
      <c r="K50" s="94">
        <v>1</v>
      </c>
      <c r="L50" s="94">
        <v>1</v>
      </c>
      <c r="M50" s="94">
        <v>1</v>
      </c>
      <c r="N50" s="94">
        <v>1</v>
      </c>
    </row>
    <row r="51" spans="1:14" ht="14.25" customHeight="1" x14ac:dyDescent="0.2">
      <c r="C51" s="92"/>
      <c r="D51" s="94"/>
      <c r="E51" s="94"/>
      <c r="F51" s="94"/>
      <c r="G51" s="94"/>
      <c r="H51" s="94"/>
      <c r="I51" s="94"/>
      <c r="J51" s="94"/>
      <c r="K51" s="94"/>
      <c r="L51" s="94"/>
      <c r="M51" s="94"/>
      <c r="N51" s="94"/>
    </row>
    <row r="52" spans="1:14" x14ac:dyDescent="0.2">
      <c r="A52" s="60" t="s">
        <v>46</v>
      </c>
      <c r="C52" s="92">
        <f>+C65/C37</f>
        <v>0.99999999999999978</v>
      </c>
      <c r="D52" s="94">
        <v>1</v>
      </c>
      <c r="E52" s="94">
        <v>1</v>
      </c>
      <c r="F52" s="94">
        <v>1</v>
      </c>
      <c r="G52" s="94">
        <v>1</v>
      </c>
      <c r="H52" s="94">
        <v>1</v>
      </c>
      <c r="I52" s="94">
        <v>1</v>
      </c>
      <c r="J52" s="94">
        <v>1</v>
      </c>
      <c r="K52" s="94">
        <v>1</v>
      </c>
      <c r="L52" s="94">
        <v>1</v>
      </c>
      <c r="M52" s="94">
        <v>1</v>
      </c>
      <c r="N52" s="94">
        <v>1</v>
      </c>
    </row>
    <row r="53" spans="1:14" x14ac:dyDescent="0.2">
      <c r="L53" s="92"/>
      <c r="N53" s="94"/>
    </row>
    <row r="54" spans="1:14" x14ac:dyDescent="0.2">
      <c r="A54" s="134" t="s">
        <v>49</v>
      </c>
      <c r="L54" s="92"/>
      <c r="N54" s="94"/>
    </row>
    <row r="55" spans="1:14" x14ac:dyDescent="0.2">
      <c r="B55" s="60" t="s">
        <v>24</v>
      </c>
      <c r="C55" s="70">
        <f>+C27*C41</f>
        <v>2.0065499999999998</v>
      </c>
      <c r="D55" s="70">
        <f t="shared" ref="D55:N55" si="8">+D27*D41</f>
        <v>1.6731</v>
      </c>
      <c r="E55" s="70">
        <f t="shared" si="8"/>
        <v>1.69455</v>
      </c>
      <c r="F55" s="70">
        <f t="shared" si="8"/>
        <v>1.4176499999999999</v>
      </c>
      <c r="G55" s="70">
        <f t="shared" si="8"/>
        <v>1.7686500000000001</v>
      </c>
      <c r="H55" s="70">
        <f t="shared" si="8"/>
        <v>1.5970499999999999</v>
      </c>
      <c r="I55" s="70">
        <f t="shared" si="8"/>
        <v>1.4625000000000001</v>
      </c>
      <c r="J55" s="70">
        <f t="shared" si="8"/>
        <v>1.7355</v>
      </c>
      <c r="K55" s="70">
        <f t="shared" si="8"/>
        <v>1.2421500000000001</v>
      </c>
      <c r="L55" s="70">
        <f t="shared" si="8"/>
        <v>0.99840000000000007</v>
      </c>
      <c r="M55" s="70">
        <f t="shared" si="8"/>
        <v>1.2987</v>
      </c>
      <c r="N55" s="70">
        <f t="shared" si="8"/>
        <v>1.0530000000000002</v>
      </c>
    </row>
    <row r="56" spans="1:14" x14ac:dyDescent="0.2">
      <c r="B56" s="60" t="s">
        <v>28</v>
      </c>
      <c r="C56" s="70">
        <f t="shared" ref="C56:N64" si="9">+C28*C42</f>
        <v>1.8336779999999999</v>
      </c>
      <c r="D56" s="70">
        <f t="shared" si="9"/>
        <v>1.528956</v>
      </c>
      <c r="E56" s="70">
        <f t="shared" si="9"/>
        <v>1.5485579999999999</v>
      </c>
      <c r="F56" s="70">
        <f t="shared" si="9"/>
        <v>1.2955139999999998</v>
      </c>
      <c r="G56" s="70">
        <f t="shared" si="9"/>
        <v>1.616274</v>
      </c>
      <c r="H56" s="70">
        <f t="shared" si="9"/>
        <v>1.4594579999999999</v>
      </c>
      <c r="I56" s="70">
        <f t="shared" si="9"/>
        <v>1.3365</v>
      </c>
      <c r="J56" s="70">
        <f t="shared" si="9"/>
        <v>1.5859799999999999</v>
      </c>
      <c r="K56" s="70">
        <f t="shared" si="9"/>
        <v>1.1351340000000001</v>
      </c>
      <c r="L56" s="70">
        <f t="shared" si="9"/>
        <v>0.91238399999999997</v>
      </c>
      <c r="M56" s="70">
        <f t="shared" si="9"/>
        <v>1.186812</v>
      </c>
      <c r="N56" s="70">
        <f t="shared" si="9"/>
        <v>0.96228000000000002</v>
      </c>
    </row>
    <row r="57" spans="1:14" x14ac:dyDescent="0.2">
      <c r="B57" s="60" t="s">
        <v>39</v>
      </c>
      <c r="C57" s="70">
        <f t="shared" si="9"/>
        <v>0</v>
      </c>
      <c r="D57" s="70">
        <f t="shared" si="9"/>
        <v>0</v>
      </c>
      <c r="E57" s="70">
        <f t="shared" si="9"/>
        <v>0</v>
      </c>
      <c r="F57" s="70">
        <f t="shared" si="9"/>
        <v>0</v>
      </c>
      <c r="G57" s="70">
        <f t="shared" si="9"/>
        <v>0</v>
      </c>
      <c r="H57" s="70">
        <f t="shared" si="9"/>
        <v>0</v>
      </c>
      <c r="I57" s="70">
        <f t="shared" si="9"/>
        <v>0</v>
      </c>
      <c r="J57" s="70">
        <f t="shared" si="9"/>
        <v>0</v>
      </c>
      <c r="K57" s="70">
        <f t="shared" si="9"/>
        <v>0</v>
      </c>
      <c r="L57" s="70">
        <f t="shared" si="9"/>
        <v>0</v>
      </c>
      <c r="M57" s="70">
        <f t="shared" si="9"/>
        <v>0</v>
      </c>
      <c r="N57" s="70">
        <f t="shared" si="9"/>
        <v>0</v>
      </c>
    </row>
    <row r="58" spans="1:14" x14ac:dyDescent="0.2">
      <c r="B58" s="60" t="s">
        <v>40</v>
      </c>
      <c r="C58" s="70">
        <f t="shared" si="9"/>
        <v>0.16978499999999999</v>
      </c>
      <c r="D58" s="70">
        <f t="shared" si="9"/>
        <v>0.14157</v>
      </c>
      <c r="E58" s="70">
        <f t="shared" si="9"/>
        <v>0.14338499999999998</v>
      </c>
      <c r="F58" s="70">
        <f t="shared" si="9"/>
        <v>0.11995499999999999</v>
      </c>
      <c r="G58" s="70">
        <f t="shared" si="9"/>
        <v>0.14965500000000001</v>
      </c>
      <c r="H58" s="70">
        <f t="shared" si="9"/>
        <v>0.13513500000000001</v>
      </c>
      <c r="I58" s="70">
        <f t="shared" si="9"/>
        <v>0.12375</v>
      </c>
      <c r="J58" s="70">
        <f t="shared" si="9"/>
        <v>0.14685000000000001</v>
      </c>
      <c r="K58" s="70">
        <f t="shared" si="9"/>
        <v>0.105105</v>
      </c>
      <c r="L58" s="70">
        <f t="shared" si="9"/>
        <v>8.448E-2</v>
      </c>
      <c r="M58" s="70">
        <f t="shared" si="9"/>
        <v>0.10989</v>
      </c>
      <c r="N58" s="70">
        <f t="shared" si="9"/>
        <v>8.9100000000000013E-2</v>
      </c>
    </row>
    <row r="59" spans="1:14" x14ac:dyDescent="0.2">
      <c r="B59" s="60" t="s">
        <v>41</v>
      </c>
      <c r="C59" s="70">
        <f t="shared" si="9"/>
        <v>0.46202099999999996</v>
      </c>
      <c r="D59" s="70">
        <f t="shared" si="9"/>
        <v>0.38524200000000003</v>
      </c>
      <c r="E59" s="70">
        <f t="shared" si="9"/>
        <v>0.390181</v>
      </c>
      <c r="F59" s="70">
        <f t="shared" si="9"/>
        <v>0.32642300000000002</v>
      </c>
      <c r="G59" s="70">
        <f t="shared" si="9"/>
        <v>0.40724300000000002</v>
      </c>
      <c r="H59" s="70">
        <f t="shared" si="9"/>
        <v>0.36773099999999997</v>
      </c>
      <c r="I59" s="70">
        <f t="shared" si="9"/>
        <v>0.33674999999999999</v>
      </c>
      <c r="J59" s="70">
        <f t="shared" si="9"/>
        <v>0.39961000000000002</v>
      </c>
      <c r="K59" s="70">
        <f t="shared" si="9"/>
        <v>0.28601300000000002</v>
      </c>
      <c r="L59" s="70">
        <f t="shared" si="9"/>
        <v>0.22988800000000001</v>
      </c>
      <c r="M59" s="70">
        <f t="shared" si="9"/>
        <v>0.29903400000000002</v>
      </c>
      <c r="N59" s="70">
        <f t="shared" si="9"/>
        <v>0.24246000000000004</v>
      </c>
    </row>
    <row r="60" spans="1:14" x14ac:dyDescent="0.2">
      <c r="B60" s="60" t="s">
        <v>42</v>
      </c>
      <c r="C60" s="95">
        <f t="shared" si="9"/>
        <v>7.7174999999999994E-2</v>
      </c>
      <c r="D60" s="95">
        <f t="shared" si="9"/>
        <v>6.4350000000000004E-2</v>
      </c>
      <c r="E60" s="95">
        <f t="shared" si="9"/>
        <v>6.5174999999999997E-2</v>
      </c>
      <c r="F60" s="95">
        <f t="shared" si="9"/>
        <v>5.4524999999999997E-2</v>
      </c>
      <c r="G60" s="95">
        <f t="shared" si="9"/>
        <v>6.8025000000000002E-2</v>
      </c>
      <c r="H60" s="95">
        <f t="shared" si="9"/>
        <v>6.1424999999999993E-2</v>
      </c>
      <c r="I60" s="95">
        <f t="shared" si="9"/>
        <v>5.6249999999999994E-2</v>
      </c>
      <c r="J60" s="95">
        <f t="shared" si="9"/>
        <v>6.6750000000000004E-2</v>
      </c>
      <c r="K60" s="95">
        <f t="shared" si="9"/>
        <v>4.7774999999999998E-2</v>
      </c>
      <c r="L60" s="95">
        <f t="shared" si="9"/>
        <v>3.8399999999999997E-2</v>
      </c>
      <c r="M60" s="95">
        <f t="shared" si="9"/>
        <v>4.9950000000000001E-2</v>
      </c>
      <c r="N60" s="95">
        <f t="shared" si="9"/>
        <v>4.0500000000000001E-2</v>
      </c>
    </row>
    <row r="61" spans="1:14" x14ac:dyDescent="0.2">
      <c r="B61" s="60" t="s">
        <v>43</v>
      </c>
      <c r="C61" s="70">
        <f t="shared" si="9"/>
        <v>0</v>
      </c>
      <c r="D61" s="70">
        <f t="shared" si="9"/>
        <v>0</v>
      </c>
      <c r="E61" s="70">
        <f t="shared" si="9"/>
        <v>0</v>
      </c>
      <c r="F61" s="70">
        <f t="shared" si="9"/>
        <v>0</v>
      </c>
      <c r="G61" s="70">
        <f t="shared" si="9"/>
        <v>0</v>
      </c>
      <c r="H61" s="70">
        <f t="shared" si="9"/>
        <v>0</v>
      </c>
      <c r="I61" s="70">
        <f t="shared" si="9"/>
        <v>0</v>
      </c>
      <c r="J61" s="70">
        <f t="shared" si="9"/>
        <v>0</v>
      </c>
      <c r="K61" s="70">
        <f t="shared" si="9"/>
        <v>0</v>
      </c>
      <c r="L61" s="70">
        <f t="shared" si="9"/>
        <v>0</v>
      </c>
      <c r="M61" s="70">
        <f t="shared" si="9"/>
        <v>0</v>
      </c>
      <c r="N61" s="70">
        <f t="shared" si="9"/>
        <v>0</v>
      </c>
    </row>
    <row r="62" spans="1:14" x14ac:dyDescent="0.2">
      <c r="B62" s="60" t="s">
        <v>36</v>
      </c>
      <c r="C62" s="70">
        <f t="shared" si="9"/>
        <v>1.819272</v>
      </c>
      <c r="D62" s="70">
        <f t="shared" si="9"/>
        <v>1.5169440000000001</v>
      </c>
      <c r="E62" s="70">
        <f t="shared" si="9"/>
        <v>1.536392</v>
      </c>
      <c r="F62" s="70">
        <f t="shared" si="9"/>
        <v>1.285336</v>
      </c>
      <c r="G62" s="70">
        <f t="shared" si="9"/>
        <v>1.6035760000000001</v>
      </c>
      <c r="H62" s="70">
        <f t="shared" si="9"/>
        <v>1.4479919999999999</v>
      </c>
      <c r="I62" s="70">
        <f t="shared" si="9"/>
        <v>1.3260000000000001</v>
      </c>
      <c r="J62" s="70">
        <f t="shared" si="9"/>
        <v>1.5735200000000003</v>
      </c>
      <c r="K62" s="70">
        <f t="shared" si="9"/>
        <v>1.1262160000000001</v>
      </c>
      <c r="L62" s="70">
        <f t="shared" si="9"/>
        <v>0.90521600000000013</v>
      </c>
      <c r="M62" s="70">
        <f t="shared" si="9"/>
        <v>1.1774880000000001</v>
      </c>
      <c r="N62" s="70">
        <f t="shared" si="9"/>
        <v>0.95472000000000012</v>
      </c>
    </row>
    <row r="63" spans="1:14" x14ac:dyDescent="0.2">
      <c r="B63" s="60" t="s">
        <v>44</v>
      </c>
      <c r="C63" s="70">
        <f t="shared" si="9"/>
        <v>0</v>
      </c>
      <c r="D63" s="70">
        <f t="shared" si="9"/>
        <v>0</v>
      </c>
      <c r="E63" s="70">
        <f t="shared" si="9"/>
        <v>0</v>
      </c>
      <c r="F63" s="70">
        <f t="shared" si="9"/>
        <v>0</v>
      </c>
      <c r="G63" s="70">
        <f t="shared" si="9"/>
        <v>0</v>
      </c>
      <c r="H63" s="70">
        <f t="shared" si="9"/>
        <v>0</v>
      </c>
      <c r="I63" s="70">
        <f t="shared" si="9"/>
        <v>0</v>
      </c>
      <c r="J63" s="70">
        <f t="shared" si="9"/>
        <v>0</v>
      </c>
      <c r="K63" s="70">
        <f t="shared" si="9"/>
        <v>0</v>
      </c>
      <c r="L63" s="70">
        <f t="shared" si="9"/>
        <v>0</v>
      </c>
      <c r="M63" s="70">
        <f t="shared" si="9"/>
        <v>0</v>
      </c>
      <c r="N63" s="70">
        <f t="shared" si="9"/>
        <v>0</v>
      </c>
    </row>
    <row r="64" spans="1:14" x14ac:dyDescent="0.2">
      <c r="B64" s="60" t="s">
        <v>45</v>
      </c>
      <c r="C64" s="70">
        <f t="shared" si="9"/>
        <v>0.61019700000000132</v>
      </c>
      <c r="D64" s="70">
        <f t="shared" si="9"/>
        <v>0.50879400000000108</v>
      </c>
      <c r="E64" s="70">
        <f t="shared" si="9"/>
        <v>0.51531700000000114</v>
      </c>
      <c r="F64" s="70">
        <f t="shared" si="9"/>
        <v>0.43111100000000091</v>
      </c>
      <c r="G64" s="70">
        <f t="shared" si="9"/>
        <v>0.53785100000000119</v>
      </c>
      <c r="H64" s="70">
        <f t="shared" si="9"/>
        <v>0.48566700000000101</v>
      </c>
      <c r="I64" s="70">
        <f t="shared" si="9"/>
        <v>0.44475000000000098</v>
      </c>
      <c r="J64" s="70">
        <f t="shared" si="9"/>
        <v>0.52777000000000118</v>
      </c>
      <c r="K64" s="70">
        <f t="shared" si="9"/>
        <v>0.37774100000000083</v>
      </c>
      <c r="L64" s="70">
        <f t="shared" si="9"/>
        <v>0.30361600000000066</v>
      </c>
      <c r="M64" s="70">
        <f t="shared" si="9"/>
        <v>0.3949380000000009</v>
      </c>
      <c r="N64" s="70">
        <f t="shared" si="9"/>
        <v>0.32022000000000073</v>
      </c>
    </row>
    <row r="65" spans="1:15" x14ac:dyDescent="0.2">
      <c r="B65" s="60" t="s">
        <v>46</v>
      </c>
      <c r="C65" s="87">
        <f t="shared" ref="C65:N65" si="10">+C7-SUM(C55:C64)</f>
        <v>3.3113219999999988</v>
      </c>
      <c r="D65" s="87">
        <f t="shared" si="10"/>
        <v>2.7610439999999992</v>
      </c>
      <c r="E65" s="87">
        <f t="shared" si="10"/>
        <v>2.7964419999999981</v>
      </c>
      <c r="F65" s="87">
        <f t="shared" si="10"/>
        <v>2.3394859999999991</v>
      </c>
      <c r="G65" s="87">
        <f t="shared" si="10"/>
        <v>2.9187259999999977</v>
      </c>
      <c r="H65" s="87">
        <f t="shared" si="10"/>
        <v>2.6355419999999983</v>
      </c>
      <c r="I65" s="87">
        <f t="shared" si="10"/>
        <v>2.4134999999999991</v>
      </c>
      <c r="J65" s="87">
        <f t="shared" si="10"/>
        <v>2.8640199999999991</v>
      </c>
      <c r="K65" s="87">
        <f t="shared" si="10"/>
        <v>2.049865999999998</v>
      </c>
      <c r="L65" s="87">
        <f t="shared" si="10"/>
        <v>1.6476159999999989</v>
      </c>
      <c r="M65" s="87">
        <f t="shared" si="10"/>
        <v>2.1431879999999994</v>
      </c>
      <c r="N65" s="87">
        <f t="shared" si="10"/>
        <v>1.737719999999999</v>
      </c>
    </row>
    <row r="66" spans="1:15" x14ac:dyDescent="0.2">
      <c r="C66" s="70">
        <f t="shared" ref="C66:N66" si="11">SUM(C55:C65)</f>
        <v>10.29</v>
      </c>
      <c r="D66" s="70">
        <f t="shared" si="11"/>
        <v>8.58</v>
      </c>
      <c r="E66" s="70">
        <f t="shared" si="11"/>
        <v>8.69</v>
      </c>
      <c r="F66" s="70">
        <f t="shared" si="11"/>
        <v>7.27</v>
      </c>
      <c r="G66" s="70">
        <f t="shared" si="11"/>
        <v>9.07</v>
      </c>
      <c r="H66" s="70">
        <f t="shared" si="11"/>
        <v>8.19</v>
      </c>
      <c r="I66" s="70">
        <f t="shared" si="11"/>
        <v>7.5</v>
      </c>
      <c r="J66" s="70">
        <f t="shared" si="11"/>
        <v>8.9</v>
      </c>
      <c r="K66" s="70">
        <f t="shared" si="11"/>
        <v>6.37</v>
      </c>
      <c r="L66" s="70">
        <f t="shared" si="11"/>
        <v>5.12</v>
      </c>
      <c r="M66" s="70">
        <f t="shared" si="11"/>
        <v>6.66</v>
      </c>
      <c r="N66" s="70">
        <f t="shared" si="11"/>
        <v>5.4</v>
      </c>
    </row>
    <row r="67" spans="1:15" ht="8.1" customHeight="1" x14ac:dyDescent="0.2"/>
    <row r="68" spans="1:15" x14ac:dyDescent="0.2">
      <c r="A68" s="176" t="s">
        <v>50</v>
      </c>
      <c r="C68" s="60">
        <v>1.1000000000000001</v>
      </c>
      <c r="E68" s="60" t="s">
        <v>96</v>
      </c>
    </row>
    <row r="69" spans="1:15" x14ac:dyDescent="0.2">
      <c r="B69" s="60" t="s">
        <v>24</v>
      </c>
      <c r="C69" s="97">
        <v>75.095999999999989</v>
      </c>
      <c r="D69" s="97">
        <v>73.835999999999999</v>
      </c>
      <c r="E69" s="97">
        <v>74.444999999999993</v>
      </c>
      <c r="F69" s="97">
        <v>73.695999999999998</v>
      </c>
      <c r="G69" s="97">
        <v>67.003999999999991</v>
      </c>
      <c r="H69" s="97">
        <v>68.453000000000003</v>
      </c>
      <c r="I69" s="97">
        <v>63.755999999999993</v>
      </c>
      <c r="J69" s="97">
        <v>60.780999999999992</v>
      </c>
      <c r="K69" s="97">
        <v>59.100999999999999</v>
      </c>
      <c r="L69" s="97">
        <v>58.519999999999989</v>
      </c>
      <c r="M69" s="97">
        <v>59.919999999999995</v>
      </c>
      <c r="N69" s="97">
        <v>61.284999999999997</v>
      </c>
    </row>
    <row r="70" spans="1:15" x14ac:dyDescent="0.2">
      <c r="B70" s="60" t="s">
        <v>28</v>
      </c>
      <c r="C70" s="97">
        <v>99.538013913363088</v>
      </c>
      <c r="D70" s="97">
        <v>95.647999999999982</v>
      </c>
      <c r="E70" s="97">
        <v>101.63999999999999</v>
      </c>
      <c r="F70" s="97">
        <v>98.993999999999986</v>
      </c>
      <c r="G70" s="97">
        <v>91.475999999999999</v>
      </c>
      <c r="H70" s="97">
        <v>95.332999999999998</v>
      </c>
      <c r="I70" s="97">
        <v>93.1</v>
      </c>
      <c r="J70" s="97">
        <v>88.647999999999996</v>
      </c>
      <c r="K70" s="97">
        <v>85.644999999999996</v>
      </c>
      <c r="L70" s="97">
        <v>73.444000000000003</v>
      </c>
      <c r="M70" s="97">
        <v>71.742999999999995</v>
      </c>
      <c r="N70" s="97">
        <v>80.044999999999987</v>
      </c>
    </row>
    <row r="71" spans="1:15" x14ac:dyDescent="0.2">
      <c r="B71" s="60" t="s">
        <v>39</v>
      </c>
      <c r="C71" s="97"/>
      <c r="D71" s="97"/>
      <c r="E71" s="97"/>
      <c r="F71" s="97"/>
      <c r="G71" s="97"/>
      <c r="H71" s="97"/>
      <c r="I71" s="97" t="s">
        <v>77</v>
      </c>
      <c r="J71" s="97">
        <v>0</v>
      </c>
      <c r="K71" s="97"/>
      <c r="L71" s="97"/>
      <c r="M71" s="97"/>
      <c r="N71" s="97"/>
    </row>
    <row r="72" spans="1:15" x14ac:dyDescent="0.2">
      <c r="B72" s="60" t="s">
        <v>40</v>
      </c>
      <c r="C72" s="97">
        <v>80.184999999999988</v>
      </c>
      <c r="D72" s="97">
        <v>74.192999999999998</v>
      </c>
      <c r="E72" s="97">
        <v>73.751999999999995</v>
      </c>
      <c r="F72" s="97">
        <v>73.254999999999995</v>
      </c>
      <c r="G72" s="97">
        <v>76.705999999999989</v>
      </c>
      <c r="H72" s="97">
        <v>61.949999999999996</v>
      </c>
      <c r="I72" s="97">
        <v>52.856999999999999</v>
      </c>
      <c r="J72" s="97">
        <v>53.297999999999995</v>
      </c>
      <c r="K72" s="97">
        <v>53.024999999999999</v>
      </c>
      <c r="L72" s="97">
        <v>39.094999999999999</v>
      </c>
      <c r="M72" s="97">
        <v>39.753</v>
      </c>
      <c r="N72" s="97">
        <v>39.269999999999996</v>
      </c>
    </row>
    <row r="73" spans="1:15" x14ac:dyDescent="0.2">
      <c r="B73" s="60" t="s">
        <v>41</v>
      </c>
      <c r="C73" s="97">
        <v>189.09099999999998</v>
      </c>
      <c r="D73" s="97">
        <v>190.60999999999999</v>
      </c>
      <c r="E73" s="97">
        <v>213.80799999999999</v>
      </c>
      <c r="F73" s="97">
        <v>216.37</v>
      </c>
      <c r="G73" s="97">
        <v>238.16799999999998</v>
      </c>
      <c r="H73" s="97">
        <v>230.12499999999997</v>
      </c>
      <c r="I73" s="97">
        <v>209.37700000000001</v>
      </c>
      <c r="J73" s="97">
        <v>171.57</v>
      </c>
      <c r="K73" s="97">
        <v>130.49399999999997</v>
      </c>
      <c r="L73" s="97">
        <v>104.23699999999999</v>
      </c>
      <c r="M73" s="97">
        <v>119.26599999999999</v>
      </c>
      <c r="N73" s="97">
        <v>143.15699999999998</v>
      </c>
    </row>
    <row r="74" spans="1:15" x14ac:dyDescent="0.2">
      <c r="B74" s="60" t="s">
        <v>42</v>
      </c>
      <c r="C74" s="97">
        <v>1078.0139999999999</v>
      </c>
      <c r="D74" s="97">
        <v>1048.7190000000001</v>
      </c>
      <c r="E74" s="97">
        <v>1082.5429999999999</v>
      </c>
      <c r="F74" s="97">
        <v>1138.1859999999999</v>
      </c>
      <c r="G74" s="97">
        <v>1150.8559999999998</v>
      </c>
      <c r="H74" s="97">
        <v>1124.4870000000001</v>
      </c>
      <c r="I74" s="97">
        <v>1232</v>
      </c>
      <c r="J74" s="97">
        <v>1190</v>
      </c>
      <c r="K74" s="97">
        <v>1106</v>
      </c>
      <c r="L74" s="97">
        <v>1095.4089999999999</v>
      </c>
      <c r="M74" s="97">
        <v>1041.194</v>
      </c>
      <c r="N74" s="97">
        <v>970.33299999999997</v>
      </c>
    </row>
    <row r="75" spans="1:15" x14ac:dyDescent="0.2">
      <c r="B75" s="60" t="s">
        <v>43</v>
      </c>
      <c r="C75" s="97"/>
      <c r="D75" s="97"/>
      <c r="E75" s="97"/>
      <c r="F75" s="97"/>
      <c r="G75" s="97"/>
      <c r="H75" s="97"/>
      <c r="I75" s="97" t="s">
        <v>77</v>
      </c>
      <c r="J75" s="97">
        <v>0</v>
      </c>
      <c r="K75" s="97"/>
      <c r="L75" s="97"/>
      <c r="M75" s="97"/>
      <c r="N75" s="97"/>
    </row>
    <row r="76" spans="1:15" x14ac:dyDescent="0.2">
      <c r="B76" s="60" t="s">
        <v>36</v>
      </c>
      <c r="C76" s="97">
        <v>-15.18</v>
      </c>
      <c r="D76" s="97">
        <v>-6.98</v>
      </c>
      <c r="E76" s="97">
        <v>-7.6</v>
      </c>
      <c r="F76" s="97">
        <v>-8.7100000000000009</v>
      </c>
      <c r="G76" s="97">
        <v>2.6</v>
      </c>
      <c r="H76" s="97">
        <v>0.99399999999999988</v>
      </c>
      <c r="I76" s="97">
        <v>-2.9539999999999997</v>
      </c>
      <c r="J76" s="97">
        <v>-4.7669999999999995</v>
      </c>
      <c r="K76" s="97">
        <v>-3.9339999999999997</v>
      </c>
      <c r="L76" s="97">
        <v>-9.113999999999999</v>
      </c>
      <c r="M76" s="97">
        <v>-5.194</v>
      </c>
      <c r="N76" s="97">
        <v>-13.93</v>
      </c>
    </row>
    <row r="77" spans="1:15" x14ac:dyDescent="0.2">
      <c r="B77" s="60" t="s">
        <v>44</v>
      </c>
      <c r="C77" s="97">
        <v>-120.17</v>
      </c>
      <c r="D77" s="97">
        <v>-120.17</v>
      </c>
      <c r="E77" s="97">
        <v>-120.17</v>
      </c>
      <c r="F77" s="97">
        <v>-120.17</v>
      </c>
      <c r="G77" s="97">
        <v>-120.17</v>
      </c>
      <c r="H77" s="97">
        <v>-120.17</v>
      </c>
      <c r="I77" s="97">
        <v>-120.17</v>
      </c>
      <c r="J77" s="97">
        <v>-120.17</v>
      </c>
      <c r="K77" s="97">
        <v>-120.17</v>
      </c>
      <c r="L77" s="97">
        <v>-120.17</v>
      </c>
      <c r="M77" s="97">
        <v>-120.17</v>
      </c>
      <c r="N77" s="97">
        <v>-120.17</v>
      </c>
    </row>
    <row r="78" spans="1:15" x14ac:dyDescent="0.2">
      <c r="B78" s="60" t="s">
        <v>45</v>
      </c>
      <c r="C78" s="97">
        <v>-120.17</v>
      </c>
      <c r="D78" s="97">
        <v>-120.17</v>
      </c>
      <c r="E78" s="97">
        <v>-120.17</v>
      </c>
      <c r="F78" s="97">
        <v>-120.17</v>
      </c>
      <c r="G78" s="97">
        <v>-120.17</v>
      </c>
      <c r="H78" s="97">
        <v>-120.17</v>
      </c>
      <c r="I78" s="97">
        <v>-120.17</v>
      </c>
      <c r="J78" s="97">
        <v>-120.17</v>
      </c>
      <c r="K78" s="97">
        <v>-120.17</v>
      </c>
      <c r="L78" s="97">
        <v>-120.17</v>
      </c>
      <c r="M78" s="97">
        <v>-120.17</v>
      </c>
      <c r="N78" s="97">
        <v>-120.17</v>
      </c>
    </row>
    <row r="79" spans="1:15" x14ac:dyDescent="0.2">
      <c r="B79" s="60" t="s">
        <v>46</v>
      </c>
      <c r="C79" s="97">
        <v>70.069999999999993</v>
      </c>
      <c r="D79" s="97">
        <v>68.361999999999995</v>
      </c>
      <c r="E79" s="97">
        <v>68.417999999999992</v>
      </c>
      <c r="F79" s="97">
        <v>68.018999999999991</v>
      </c>
      <c r="G79" s="97">
        <v>62.811</v>
      </c>
      <c r="H79" s="97">
        <v>60.717999999999989</v>
      </c>
      <c r="I79" s="97">
        <v>56.370999999999995</v>
      </c>
      <c r="J79" s="97">
        <v>53.717999999999996</v>
      </c>
      <c r="K79" s="97">
        <v>53.255999999999993</v>
      </c>
      <c r="L79" s="97">
        <v>51.967999999999996</v>
      </c>
      <c r="M79" s="97">
        <v>56.069999999999993</v>
      </c>
      <c r="N79" s="97">
        <v>56.069999999999993</v>
      </c>
      <c r="O79" s="102">
        <f>SUM(C69:N79)</f>
        <v>15769.502013913374</v>
      </c>
    </row>
    <row r="80" spans="1:15" ht="8.1" customHeight="1" x14ac:dyDescent="0.2"/>
    <row r="81" spans="1:16" x14ac:dyDescent="0.2">
      <c r="A81" s="134" t="s">
        <v>51</v>
      </c>
    </row>
    <row r="82" spans="1:16" x14ac:dyDescent="0.2">
      <c r="B82" s="60" t="s">
        <v>24</v>
      </c>
      <c r="C82" s="73">
        <f>+C69*C55</f>
        <v>150.68387879999997</v>
      </c>
      <c r="D82" s="70">
        <f t="shared" ref="D82:N82" si="12">+D69*D55</f>
        <v>123.5350116</v>
      </c>
      <c r="E82" s="70">
        <f t="shared" si="12"/>
        <v>126.15077474999998</v>
      </c>
      <c r="F82" s="70">
        <f t="shared" si="12"/>
        <v>104.47513439999999</v>
      </c>
      <c r="G82" s="70">
        <f t="shared" si="12"/>
        <v>118.50662459999998</v>
      </c>
      <c r="H82" s="70">
        <f t="shared" si="12"/>
        <v>109.32286364999999</v>
      </c>
      <c r="I82" s="70">
        <f t="shared" si="12"/>
        <v>93.24315</v>
      </c>
      <c r="J82" s="70">
        <f t="shared" si="12"/>
        <v>105.48542549999999</v>
      </c>
      <c r="K82" s="70">
        <f t="shared" si="12"/>
        <v>73.412307150000004</v>
      </c>
      <c r="L82" s="70">
        <f t="shared" si="12"/>
        <v>58.426367999999989</v>
      </c>
      <c r="M82" s="70">
        <f t="shared" si="12"/>
        <v>77.818103999999991</v>
      </c>
      <c r="N82" s="70">
        <f t="shared" si="12"/>
        <v>64.533105000000006</v>
      </c>
      <c r="O82" s="102">
        <f t="shared" ref="O82:O92" si="13">SUM(C82:N82)</f>
        <v>1205.5927474499999</v>
      </c>
    </row>
    <row r="83" spans="1:16" x14ac:dyDescent="0.2">
      <c r="B83" s="60" t="s">
        <v>28</v>
      </c>
      <c r="C83" s="73">
        <f t="shared" ref="C83:N92" si="14">+C70*C56</f>
        <v>182.52066627662779</v>
      </c>
      <c r="D83" s="70">
        <f t="shared" si="14"/>
        <v>146.24158348799997</v>
      </c>
      <c r="E83" s="70">
        <f t="shared" si="14"/>
        <v>157.39543511999997</v>
      </c>
      <c r="F83" s="70">
        <f t="shared" si="14"/>
        <v>128.24811291599997</v>
      </c>
      <c r="G83" s="70">
        <f t="shared" si="14"/>
        <v>147.850280424</v>
      </c>
      <c r="H83" s="70">
        <f t="shared" si="14"/>
        <v>139.134509514</v>
      </c>
      <c r="I83" s="70">
        <f t="shared" si="14"/>
        <v>124.42814999999999</v>
      </c>
      <c r="J83" s="70">
        <f t="shared" si="14"/>
        <v>140.59395504</v>
      </c>
      <c r="K83" s="70">
        <f t="shared" si="14"/>
        <v>97.218551430000005</v>
      </c>
      <c r="L83" s="70">
        <f t="shared" si="14"/>
        <v>67.009130495999997</v>
      </c>
      <c r="M83" s="70">
        <f t="shared" si="14"/>
        <v>85.145453315999987</v>
      </c>
      <c r="N83" s="70">
        <f t="shared" si="14"/>
        <v>77.025702599999988</v>
      </c>
      <c r="O83" s="102">
        <f t="shared" si="13"/>
        <v>1492.8115306206275</v>
      </c>
    </row>
    <row r="84" spans="1:16" x14ac:dyDescent="0.2">
      <c r="B84" s="60" t="s">
        <v>39</v>
      </c>
      <c r="C84" s="73">
        <f t="shared" si="14"/>
        <v>0</v>
      </c>
      <c r="D84" s="70">
        <f t="shared" si="14"/>
        <v>0</v>
      </c>
      <c r="E84" s="70">
        <f t="shared" si="14"/>
        <v>0</v>
      </c>
      <c r="F84" s="70">
        <f t="shared" si="14"/>
        <v>0</v>
      </c>
      <c r="G84" s="70">
        <f t="shared" si="14"/>
        <v>0</v>
      </c>
      <c r="H84" s="70">
        <f t="shared" si="14"/>
        <v>0</v>
      </c>
      <c r="I84" s="70"/>
      <c r="J84" s="70">
        <f t="shared" si="14"/>
        <v>0</v>
      </c>
      <c r="K84" s="70">
        <f t="shared" si="14"/>
        <v>0</v>
      </c>
      <c r="L84" s="70">
        <f t="shared" si="14"/>
        <v>0</v>
      </c>
      <c r="M84" s="70">
        <f t="shared" si="14"/>
        <v>0</v>
      </c>
      <c r="N84" s="70">
        <f t="shared" si="14"/>
        <v>0</v>
      </c>
      <c r="O84" s="102">
        <f t="shared" si="13"/>
        <v>0</v>
      </c>
    </row>
    <row r="85" spans="1:16" x14ac:dyDescent="0.2">
      <c r="B85" s="60" t="s">
        <v>40</v>
      </c>
      <c r="C85" s="73">
        <f t="shared" si="14"/>
        <v>13.614210224999997</v>
      </c>
      <c r="D85" s="70">
        <f t="shared" si="14"/>
        <v>10.503503009999999</v>
      </c>
      <c r="E85" s="70">
        <f t="shared" si="14"/>
        <v>10.574930519999999</v>
      </c>
      <c r="F85" s="70">
        <f t="shared" si="14"/>
        <v>8.7873035249999987</v>
      </c>
      <c r="G85" s="70">
        <f t="shared" si="14"/>
        <v>11.47943643</v>
      </c>
      <c r="H85" s="70">
        <f t="shared" si="14"/>
        <v>8.3716132499999993</v>
      </c>
      <c r="I85" s="70">
        <f t="shared" si="14"/>
        <v>6.5410537499999997</v>
      </c>
      <c r="J85" s="70">
        <f t="shared" si="14"/>
        <v>7.8268112999999992</v>
      </c>
      <c r="K85" s="70">
        <f t="shared" si="14"/>
        <v>5.5731926249999999</v>
      </c>
      <c r="L85" s="70">
        <f t="shared" si="14"/>
        <v>3.3027455999999997</v>
      </c>
      <c r="M85" s="70">
        <f t="shared" si="14"/>
        <v>4.3684571700000001</v>
      </c>
      <c r="N85" s="70">
        <f t="shared" si="14"/>
        <v>3.4989570000000003</v>
      </c>
      <c r="O85" s="102">
        <f t="shared" si="13"/>
        <v>94.442214405000001</v>
      </c>
    </row>
    <row r="86" spans="1:16" x14ac:dyDescent="0.2">
      <c r="B86" s="60" t="s">
        <v>41</v>
      </c>
      <c r="C86" s="73">
        <f t="shared" si="14"/>
        <v>87.364012910999989</v>
      </c>
      <c r="D86" s="70">
        <f t="shared" si="14"/>
        <v>73.430977619999993</v>
      </c>
      <c r="E86" s="70">
        <f t="shared" si="14"/>
        <v>83.423819248000001</v>
      </c>
      <c r="F86" s="70">
        <f t="shared" si="14"/>
        <v>70.628144509999998</v>
      </c>
      <c r="G86" s="70">
        <f t="shared" si="14"/>
        <v>96.992250823999996</v>
      </c>
      <c r="H86" s="70">
        <f t="shared" si="14"/>
        <v>84.624096374999979</v>
      </c>
      <c r="I86" s="70">
        <f t="shared" si="14"/>
        <v>70.507704750000002</v>
      </c>
      <c r="J86" s="70">
        <f t="shared" si="14"/>
        <v>68.561087700000002</v>
      </c>
      <c r="K86" s="70">
        <f t="shared" si="14"/>
        <v>37.322980421999993</v>
      </c>
      <c r="L86" s="70">
        <f t="shared" si="14"/>
        <v>23.962835456000001</v>
      </c>
      <c r="M86" s="70">
        <f t="shared" si="14"/>
        <v>35.664589044000003</v>
      </c>
      <c r="N86" s="70">
        <f t="shared" si="14"/>
        <v>34.709846220000003</v>
      </c>
      <c r="O86" s="102">
        <f t="shared" si="13"/>
        <v>767.19234508</v>
      </c>
    </row>
    <row r="87" spans="1:16" x14ac:dyDescent="0.2">
      <c r="B87" s="60" t="s">
        <v>42</v>
      </c>
      <c r="C87" s="73">
        <f t="shared" si="14"/>
        <v>83.195730449999985</v>
      </c>
      <c r="D87" s="70">
        <f t="shared" si="14"/>
        <v>67.485067650000005</v>
      </c>
      <c r="E87" s="70">
        <f t="shared" si="14"/>
        <v>70.554740024999987</v>
      </c>
      <c r="F87" s="70">
        <f t="shared" si="14"/>
        <v>62.059591649999994</v>
      </c>
      <c r="G87" s="70">
        <f t="shared" si="14"/>
        <v>78.286979399999993</v>
      </c>
      <c r="H87" s="70">
        <f t="shared" si="14"/>
        <v>69.071613974999991</v>
      </c>
      <c r="I87" s="70">
        <f t="shared" si="14"/>
        <v>69.3</v>
      </c>
      <c r="J87" s="70">
        <f t="shared" si="14"/>
        <v>79.432500000000005</v>
      </c>
      <c r="K87" s="70">
        <f t="shared" si="14"/>
        <v>52.839149999999997</v>
      </c>
      <c r="L87" s="70">
        <f t="shared" si="14"/>
        <v>42.063705599999992</v>
      </c>
      <c r="M87" s="70">
        <f t="shared" si="14"/>
        <v>52.007640299999998</v>
      </c>
      <c r="N87" s="70">
        <f t="shared" si="14"/>
        <v>39.298486500000003</v>
      </c>
      <c r="O87" s="102">
        <f t="shared" si="13"/>
        <v>765.59520555000006</v>
      </c>
    </row>
    <row r="88" spans="1:16" x14ac:dyDescent="0.2">
      <c r="B88" s="60" t="s">
        <v>43</v>
      </c>
      <c r="C88" s="73">
        <f t="shared" si="14"/>
        <v>0</v>
      </c>
      <c r="D88" s="70">
        <f t="shared" si="14"/>
        <v>0</v>
      </c>
      <c r="E88" s="70">
        <f t="shared" si="14"/>
        <v>0</v>
      </c>
      <c r="F88" s="70">
        <f t="shared" si="14"/>
        <v>0</v>
      </c>
      <c r="G88" s="70">
        <f t="shared" si="14"/>
        <v>0</v>
      </c>
      <c r="H88" s="70">
        <f t="shared" si="14"/>
        <v>0</v>
      </c>
      <c r="I88" s="70"/>
      <c r="J88" s="70">
        <f t="shared" si="14"/>
        <v>0</v>
      </c>
      <c r="K88" s="70">
        <f t="shared" si="14"/>
        <v>0</v>
      </c>
      <c r="L88" s="70">
        <f t="shared" si="14"/>
        <v>0</v>
      </c>
      <c r="M88" s="70">
        <f t="shared" si="14"/>
        <v>0</v>
      </c>
      <c r="N88" s="70">
        <f t="shared" si="14"/>
        <v>0</v>
      </c>
      <c r="O88" s="102">
        <f t="shared" si="13"/>
        <v>0</v>
      </c>
    </row>
    <row r="89" spans="1:16" x14ac:dyDescent="0.2">
      <c r="B89" s="60" t="s">
        <v>36</v>
      </c>
      <c r="C89" s="73">
        <f t="shared" si="14"/>
        <v>-27.616548959999999</v>
      </c>
      <c r="D89" s="70">
        <f t="shared" si="14"/>
        <v>-10.588269120000001</v>
      </c>
      <c r="E89" s="70">
        <f t="shared" si="14"/>
        <v>-11.676579199999999</v>
      </c>
      <c r="F89" s="70">
        <f t="shared" si="14"/>
        <v>-11.195276560000002</v>
      </c>
      <c r="G89" s="70">
        <f t="shared" si="14"/>
        <v>4.1692976000000002</v>
      </c>
      <c r="H89" s="70">
        <f t="shared" si="14"/>
        <v>1.4393040479999997</v>
      </c>
      <c r="I89" s="70">
        <f t="shared" si="14"/>
        <v>-3.9170039999999999</v>
      </c>
      <c r="J89" s="70">
        <f t="shared" si="14"/>
        <v>-7.5009698400000007</v>
      </c>
      <c r="K89" s="70">
        <f t="shared" si="14"/>
        <v>-4.4305337439999999</v>
      </c>
      <c r="L89" s="70">
        <f t="shared" si="14"/>
        <v>-8.2501386239999999</v>
      </c>
      <c r="M89" s="70">
        <f t="shared" si="14"/>
        <v>-6.1158726720000001</v>
      </c>
      <c r="N89" s="70">
        <f t="shared" si="14"/>
        <v>-13.299249600000001</v>
      </c>
      <c r="O89" s="102">
        <f t="shared" si="13"/>
        <v>-98.981840672000004</v>
      </c>
    </row>
    <row r="90" spans="1:16" x14ac:dyDescent="0.2">
      <c r="B90" s="60" t="s">
        <v>44</v>
      </c>
      <c r="C90" s="73">
        <f t="shared" si="14"/>
        <v>0</v>
      </c>
      <c r="D90" s="70">
        <f t="shared" si="14"/>
        <v>0</v>
      </c>
      <c r="E90" s="70">
        <f t="shared" si="14"/>
        <v>0</v>
      </c>
      <c r="F90" s="70">
        <f t="shared" si="14"/>
        <v>0</v>
      </c>
      <c r="G90" s="70">
        <f t="shared" si="14"/>
        <v>0</v>
      </c>
      <c r="H90" s="70">
        <f t="shared" si="14"/>
        <v>0</v>
      </c>
      <c r="I90" s="70">
        <f t="shared" si="14"/>
        <v>0</v>
      </c>
      <c r="J90" s="70">
        <f t="shared" si="14"/>
        <v>0</v>
      </c>
      <c r="K90" s="70">
        <f t="shared" si="14"/>
        <v>0</v>
      </c>
      <c r="L90" s="70">
        <f t="shared" si="14"/>
        <v>0</v>
      </c>
      <c r="M90" s="70">
        <f t="shared" si="14"/>
        <v>0</v>
      </c>
      <c r="N90" s="70">
        <f t="shared" si="14"/>
        <v>0</v>
      </c>
      <c r="O90" s="102">
        <f t="shared" si="13"/>
        <v>0</v>
      </c>
    </row>
    <row r="91" spans="1:16" x14ac:dyDescent="0.2">
      <c r="B91" s="60" t="s">
        <v>45</v>
      </c>
      <c r="C91" s="73">
        <f t="shared" si="14"/>
        <v>-73.327373490000156</v>
      </c>
      <c r="D91" s="70">
        <f t="shared" si="14"/>
        <v>-61.141774980000129</v>
      </c>
      <c r="E91" s="70">
        <f t="shared" si="14"/>
        <v>-61.925643890000138</v>
      </c>
      <c r="F91" s="70">
        <f t="shared" si="14"/>
        <v>-51.806608870000112</v>
      </c>
      <c r="G91" s="70">
        <f t="shared" si="14"/>
        <v>-64.633554670000137</v>
      </c>
      <c r="H91" s="70">
        <f t="shared" si="14"/>
        <v>-58.362603390000125</v>
      </c>
      <c r="I91" s="70">
        <f t="shared" si="14"/>
        <v>-53.445607500000115</v>
      </c>
      <c r="J91" s="70">
        <f t="shared" si="14"/>
        <v>-63.422120900000145</v>
      </c>
      <c r="K91" s="70">
        <f t="shared" si="14"/>
        <v>-45.393135970000102</v>
      </c>
      <c r="L91" s="70">
        <f t="shared" si="14"/>
        <v>-36.485534720000082</v>
      </c>
      <c r="M91" s="70">
        <f t="shared" si="14"/>
        <v>-47.45969946000011</v>
      </c>
      <c r="N91" s="70">
        <f t="shared" si="14"/>
        <v>-38.480837400000091</v>
      </c>
      <c r="O91" s="102">
        <f t="shared" si="13"/>
        <v>-655.88449524000134</v>
      </c>
    </row>
    <row r="92" spans="1:16" x14ac:dyDescent="0.2">
      <c r="B92" s="60" t="s">
        <v>46</v>
      </c>
      <c r="C92" s="98">
        <f t="shared" si="14"/>
        <v>232.0243325399999</v>
      </c>
      <c r="D92" s="87">
        <f t="shared" si="14"/>
        <v>188.75048992799992</v>
      </c>
      <c r="E92" s="87">
        <f t="shared" si="14"/>
        <v>191.32696875599984</v>
      </c>
      <c r="F92" s="87">
        <f t="shared" si="14"/>
        <v>159.12949823399993</v>
      </c>
      <c r="G92" s="87">
        <f t="shared" si="14"/>
        <v>183.32809878599986</v>
      </c>
      <c r="H92" s="87">
        <f t="shared" si="14"/>
        <v>160.02483915599987</v>
      </c>
      <c r="I92" s="87">
        <f t="shared" si="14"/>
        <v>136.05140849999995</v>
      </c>
      <c r="J92" s="87">
        <f t="shared" si="14"/>
        <v>153.84942635999994</v>
      </c>
      <c r="K92" s="70">
        <f t="shared" si="14"/>
        <v>109.16766369599988</v>
      </c>
      <c r="L92" s="70">
        <f t="shared" si="14"/>
        <v>85.623308287999933</v>
      </c>
      <c r="M92" s="70">
        <f t="shared" si="14"/>
        <v>120.16855115999995</v>
      </c>
      <c r="N92" s="70">
        <f t="shared" si="14"/>
        <v>97.433960399999933</v>
      </c>
      <c r="O92" s="102">
        <f t="shared" si="13"/>
        <v>1816.8785458039988</v>
      </c>
    </row>
    <row r="93" spans="1:16" x14ac:dyDescent="0.2">
      <c r="A93" s="134" t="s">
        <v>52</v>
      </c>
      <c r="B93" s="134"/>
      <c r="C93" s="177">
        <f t="shared" ref="C93:N93" si="15">SUM(C82:C92)</f>
        <v>648.45890875262751</v>
      </c>
      <c r="D93" s="178">
        <f t="shared" si="15"/>
        <v>538.21658919599975</v>
      </c>
      <c r="E93" s="178">
        <f t="shared" si="15"/>
        <v>565.82444532899979</v>
      </c>
      <c r="F93" s="178">
        <f t="shared" si="15"/>
        <v>470.32589980499978</v>
      </c>
      <c r="G93" s="178">
        <f t="shared" si="15"/>
        <v>575.97941339399972</v>
      </c>
      <c r="H93" s="178">
        <f t="shared" si="15"/>
        <v>513.62623657799963</v>
      </c>
      <c r="I93" s="178">
        <f t="shared" si="15"/>
        <v>442.7088554999998</v>
      </c>
      <c r="J93" s="178">
        <f t="shared" si="15"/>
        <v>484.8261151599998</v>
      </c>
      <c r="K93" s="179">
        <f t="shared" si="15"/>
        <v>325.71017560899975</v>
      </c>
      <c r="L93" s="179">
        <f t="shared" si="15"/>
        <v>235.65242009599984</v>
      </c>
      <c r="M93" s="179">
        <f t="shared" si="15"/>
        <v>321.59722285799984</v>
      </c>
      <c r="N93" s="179">
        <f t="shared" si="15"/>
        <v>264.71997071999982</v>
      </c>
      <c r="O93" s="102">
        <f>SUM(C93:N93)</f>
        <v>5387.6462529976252</v>
      </c>
      <c r="P93" s="237">
        <f>O93*50%</f>
        <v>2693.8231264988126</v>
      </c>
    </row>
    <row r="94" spans="1:16" x14ac:dyDescent="0.2">
      <c r="A94" s="134" t="s">
        <v>53</v>
      </c>
      <c r="B94" s="134"/>
      <c r="C94" s="177">
        <f t="shared" ref="C94:N94" si="16">+C93/C66</f>
        <v>63.018358479361282</v>
      </c>
      <c r="D94" s="178">
        <f t="shared" si="16"/>
        <v>62.729206199999972</v>
      </c>
      <c r="E94" s="178">
        <f t="shared" si="16"/>
        <v>65.112134099999977</v>
      </c>
      <c r="F94" s="178">
        <f t="shared" si="16"/>
        <v>64.694071499999978</v>
      </c>
      <c r="G94" s="178">
        <f t="shared" si="16"/>
        <v>63.503794199999966</v>
      </c>
      <c r="H94" s="178">
        <f t="shared" si="16"/>
        <v>62.713826199999957</v>
      </c>
      <c r="I94" s="178">
        <f t="shared" si="16"/>
        <v>59.02784739999997</v>
      </c>
      <c r="J94" s="178">
        <f t="shared" si="16"/>
        <v>54.474844399999974</v>
      </c>
      <c r="K94" s="180">
        <f t="shared" si="16"/>
        <v>51.131895699999959</v>
      </c>
      <c r="L94" s="180">
        <f t="shared" si="16"/>
        <v>46.025863299999969</v>
      </c>
      <c r="M94" s="180">
        <f t="shared" si="16"/>
        <v>48.287871299999978</v>
      </c>
      <c r="N94" s="180">
        <f t="shared" si="16"/>
        <v>49.022216799999967</v>
      </c>
      <c r="O94" s="102"/>
    </row>
    <row r="95" spans="1:16" ht="8.1" customHeight="1" x14ac:dyDescent="0.2"/>
    <row r="96" spans="1:16" x14ac:dyDescent="0.2">
      <c r="A96" s="134"/>
      <c r="C96" s="102">
        <f>C94*0.7</f>
        <v>44.112850935552892</v>
      </c>
      <c r="D96" s="102">
        <f t="shared" ref="D96:N96" si="17">D94*0.7</f>
        <v>43.910444339999977</v>
      </c>
      <c r="E96" s="102">
        <f t="shared" si="17"/>
        <v>45.578493869999981</v>
      </c>
      <c r="F96" s="102">
        <f t="shared" si="17"/>
        <v>45.285850049999979</v>
      </c>
      <c r="G96" s="102">
        <f t="shared" si="17"/>
        <v>44.452655939999971</v>
      </c>
      <c r="H96" s="102">
        <f t="shared" si="17"/>
        <v>43.899678339999966</v>
      </c>
      <c r="I96" s="102">
        <f t="shared" si="17"/>
        <v>41.319493179999974</v>
      </c>
      <c r="J96" s="102">
        <f t="shared" si="17"/>
        <v>38.132391079999977</v>
      </c>
      <c r="K96" s="102">
        <f t="shared" si="17"/>
        <v>35.792326989999971</v>
      </c>
      <c r="L96" s="102">
        <f t="shared" si="17"/>
        <v>32.21810430999998</v>
      </c>
      <c r="M96" s="102">
        <f t="shared" si="17"/>
        <v>33.801509909999979</v>
      </c>
      <c r="N96" s="102">
        <f t="shared" si="17"/>
        <v>34.315551759999977</v>
      </c>
    </row>
    <row r="97" spans="1:14" x14ac:dyDescent="0.2">
      <c r="C97" s="103"/>
      <c r="D97" s="103"/>
      <c r="E97" s="103"/>
      <c r="F97" s="103"/>
      <c r="G97" s="103"/>
      <c r="H97" s="103"/>
      <c r="I97" s="103"/>
      <c r="J97" s="103"/>
      <c r="K97" s="103"/>
      <c r="L97" s="103"/>
      <c r="M97" s="103"/>
      <c r="N97" s="103"/>
    </row>
    <row r="98" spans="1:14" x14ac:dyDescent="0.2">
      <c r="A98" s="134"/>
      <c r="B98" s="134"/>
      <c r="C98" s="177"/>
      <c r="D98" s="177"/>
      <c r="E98" s="177"/>
      <c r="F98" s="177"/>
      <c r="G98" s="177"/>
      <c r="H98" s="177"/>
      <c r="I98" s="177"/>
      <c r="J98" s="181"/>
    </row>
    <row r="99" spans="1:14" ht="8.1" customHeight="1" x14ac:dyDescent="0.2">
      <c r="C99" s="105"/>
      <c r="D99" s="105"/>
      <c r="E99" s="105"/>
      <c r="F99" s="105"/>
      <c r="G99" s="105"/>
      <c r="H99" s="105"/>
      <c r="I99" s="105"/>
      <c r="J99" s="105"/>
    </row>
    <row r="100" spans="1:14" x14ac:dyDescent="0.2">
      <c r="A100" s="134"/>
      <c r="B100" s="134"/>
      <c r="C100" s="181"/>
      <c r="D100" s="181"/>
      <c r="E100" s="181"/>
      <c r="F100" s="181"/>
      <c r="G100" s="181"/>
      <c r="H100" s="181"/>
      <c r="I100" s="181"/>
      <c r="J100" s="181"/>
    </row>
    <row r="101" spans="1:14" ht="8.1" customHeight="1" x14ac:dyDescent="0.2">
      <c r="C101" s="105"/>
      <c r="D101" s="105"/>
      <c r="E101" s="105"/>
      <c r="F101" s="105"/>
      <c r="G101" s="105"/>
      <c r="H101" s="105"/>
      <c r="I101" s="105"/>
      <c r="J101" s="105"/>
    </row>
    <row r="102" spans="1:14" x14ac:dyDescent="0.2">
      <c r="A102" s="134"/>
      <c r="C102" s="103"/>
      <c r="D102" s="103"/>
      <c r="E102" s="103"/>
      <c r="F102" s="103"/>
      <c r="G102" s="103"/>
      <c r="H102" s="103"/>
      <c r="I102" s="103"/>
      <c r="J102" s="106"/>
    </row>
  </sheetData>
  <pageMargins left="0.25" right="0.25" top="0.75" bottom="0.75" header="0.3" footer="0.3"/>
  <pageSetup scale="62" fitToWidth="0" orientation="portrait" r:id="rId1"/>
  <headerFooter alignWithMargins="0"/>
  <rowBreaks count="1" manualBreakCount="1">
    <brk id="53"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1"/>
  <sheetViews>
    <sheetView showGridLines="0" zoomScaleNormal="100" workbookViewId="0">
      <selection activeCell="F41" sqref="F41"/>
    </sheetView>
  </sheetViews>
  <sheetFormatPr defaultRowHeight="12.75" x14ac:dyDescent="0.2"/>
  <cols>
    <col min="3" max="3" width="13.28515625" customWidth="1"/>
    <col min="4" max="5" width="11.5703125" customWidth="1"/>
    <col min="6" max="6" width="12.28515625" customWidth="1"/>
    <col min="7" max="7" width="9.7109375" customWidth="1"/>
    <col min="8" max="8" width="9.42578125" customWidth="1"/>
    <col min="9" max="9" width="9.28515625" customWidth="1"/>
    <col min="10" max="10" width="10" customWidth="1"/>
    <col min="11" max="11" width="9.7109375" customWidth="1"/>
    <col min="12" max="12" width="10.42578125" customWidth="1"/>
    <col min="259" max="259" width="13.28515625" customWidth="1"/>
    <col min="260" max="261" width="11.5703125" customWidth="1"/>
    <col min="262" max="262" width="12.28515625" customWidth="1"/>
    <col min="263" max="263" width="9.7109375" customWidth="1"/>
    <col min="264" max="264" width="9.42578125" customWidth="1"/>
    <col min="265" max="265" width="9.28515625" customWidth="1"/>
    <col min="266" max="266" width="10" customWidth="1"/>
    <col min="267" max="267" width="9.7109375" customWidth="1"/>
    <col min="268" max="268" width="10.42578125" customWidth="1"/>
    <col min="515" max="515" width="13.28515625" customWidth="1"/>
    <col min="516" max="517" width="11.5703125" customWidth="1"/>
    <col min="518" max="518" width="12.28515625" customWidth="1"/>
    <col min="519" max="519" width="9.7109375" customWidth="1"/>
    <col min="520" max="520" width="9.42578125" customWidth="1"/>
    <col min="521" max="521" width="9.28515625" customWidth="1"/>
    <col min="522" max="522" width="10" customWidth="1"/>
    <col min="523" max="523" width="9.7109375" customWidth="1"/>
    <col min="524" max="524" width="10.42578125" customWidth="1"/>
    <col min="771" max="771" width="13.28515625" customWidth="1"/>
    <col min="772" max="773" width="11.5703125" customWidth="1"/>
    <col min="774" max="774" width="12.28515625" customWidth="1"/>
    <col min="775" max="775" width="9.7109375" customWidth="1"/>
    <col min="776" max="776" width="9.42578125" customWidth="1"/>
    <col min="777" max="777" width="9.28515625" customWidth="1"/>
    <col min="778" max="778" width="10" customWidth="1"/>
    <col min="779" max="779" width="9.7109375" customWidth="1"/>
    <col min="780" max="780" width="10.42578125" customWidth="1"/>
    <col min="1027" max="1027" width="13.28515625" customWidth="1"/>
    <col min="1028" max="1029" width="11.5703125" customWidth="1"/>
    <col min="1030" max="1030" width="12.28515625" customWidth="1"/>
    <col min="1031" max="1031" width="9.7109375" customWidth="1"/>
    <col min="1032" max="1032" width="9.42578125" customWidth="1"/>
    <col min="1033" max="1033" width="9.28515625" customWidth="1"/>
    <col min="1034" max="1034" width="10" customWidth="1"/>
    <col min="1035" max="1035" width="9.7109375" customWidth="1"/>
    <col min="1036" max="1036" width="10.42578125" customWidth="1"/>
    <col min="1283" max="1283" width="13.28515625" customWidth="1"/>
    <col min="1284" max="1285" width="11.5703125" customWidth="1"/>
    <col min="1286" max="1286" width="12.28515625" customWidth="1"/>
    <col min="1287" max="1287" width="9.7109375" customWidth="1"/>
    <col min="1288" max="1288" width="9.42578125" customWidth="1"/>
    <col min="1289" max="1289" width="9.28515625" customWidth="1"/>
    <col min="1290" max="1290" width="10" customWidth="1"/>
    <col min="1291" max="1291" width="9.7109375" customWidth="1"/>
    <col min="1292" max="1292" width="10.42578125" customWidth="1"/>
    <col min="1539" max="1539" width="13.28515625" customWidth="1"/>
    <col min="1540" max="1541" width="11.5703125" customWidth="1"/>
    <col min="1542" max="1542" width="12.28515625" customWidth="1"/>
    <col min="1543" max="1543" width="9.7109375" customWidth="1"/>
    <col min="1544" max="1544" width="9.42578125" customWidth="1"/>
    <col min="1545" max="1545" width="9.28515625" customWidth="1"/>
    <col min="1546" max="1546" width="10" customWidth="1"/>
    <col min="1547" max="1547" width="9.7109375" customWidth="1"/>
    <col min="1548" max="1548" width="10.42578125" customWidth="1"/>
    <col min="1795" max="1795" width="13.28515625" customWidth="1"/>
    <col min="1796" max="1797" width="11.5703125" customWidth="1"/>
    <col min="1798" max="1798" width="12.28515625" customWidth="1"/>
    <col min="1799" max="1799" width="9.7109375" customWidth="1"/>
    <col min="1800" max="1800" width="9.42578125" customWidth="1"/>
    <col min="1801" max="1801" width="9.28515625" customWidth="1"/>
    <col min="1802" max="1802" width="10" customWidth="1"/>
    <col min="1803" max="1803" width="9.7109375" customWidth="1"/>
    <col min="1804" max="1804" width="10.42578125" customWidth="1"/>
    <col min="2051" max="2051" width="13.28515625" customWidth="1"/>
    <col min="2052" max="2053" width="11.5703125" customWidth="1"/>
    <col min="2054" max="2054" width="12.28515625" customWidth="1"/>
    <col min="2055" max="2055" width="9.7109375" customWidth="1"/>
    <col min="2056" max="2056" width="9.42578125" customWidth="1"/>
    <col min="2057" max="2057" width="9.28515625" customWidth="1"/>
    <col min="2058" max="2058" width="10" customWidth="1"/>
    <col min="2059" max="2059" width="9.7109375" customWidth="1"/>
    <col min="2060" max="2060" width="10.42578125" customWidth="1"/>
    <col min="2307" max="2307" width="13.28515625" customWidth="1"/>
    <col min="2308" max="2309" width="11.5703125" customWidth="1"/>
    <col min="2310" max="2310" width="12.28515625" customWidth="1"/>
    <col min="2311" max="2311" width="9.7109375" customWidth="1"/>
    <col min="2312" max="2312" width="9.42578125" customWidth="1"/>
    <col min="2313" max="2313" width="9.28515625" customWidth="1"/>
    <col min="2314" max="2314" width="10" customWidth="1"/>
    <col min="2315" max="2315" width="9.7109375" customWidth="1"/>
    <col min="2316" max="2316" width="10.42578125" customWidth="1"/>
    <col min="2563" max="2563" width="13.28515625" customWidth="1"/>
    <col min="2564" max="2565" width="11.5703125" customWidth="1"/>
    <col min="2566" max="2566" width="12.28515625" customWidth="1"/>
    <col min="2567" max="2567" width="9.7109375" customWidth="1"/>
    <col min="2568" max="2568" width="9.42578125" customWidth="1"/>
    <col min="2569" max="2569" width="9.28515625" customWidth="1"/>
    <col min="2570" max="2570" width="10" customWidth="1"/>
    <col min="2571" max="2571" width="9.7109375" customWidth="1"/>
    <col min="2572" max="2572" width="10.42578125" customWidth="1"/>
    <col min="2819" max="2819" width="13.28515625" customWidth="1"/>
    <col min="2820" max="2821" width="11.5703125" customWidth="1"/>
    <col min="2822" max="2822" width="12.28515625" customWidth="1"/>
    <col min="2823" max="2823" width="9.7109375" customWidth="1"/>
    <col min="2824" max="2824" width="9.42578125" customWidth="1"/>
    <col min="2825" max="2825" width="9.28515625" customWidth="1"/>
    <col min="2826" max="2826" width="10" customWidth="1"/>
    <col min="2827" max="2827" width="9.7109375" customWidth="1"/>
    <col min="2828" max="2828" width="10.42578125" customWidth="1"/>
    <col min="3075" max="3075" width="13.28515625" customWidth="1"/>
    <col min="3076" max="3077" width="11.5703125" customWidth="1"/>
    <col min="3078" max="3078" width="12.28515625" customWidth="1"/>
    <col min="3079" max="3079" width="9.7109375" customWidth="1"/>
    <col min="3080" max="3080" width="9.42578125" customWidth="1"/>
    <col min="3081" max="3081" width="9.28515625" customWidth="1"/>
    <col min="3082" max="3082" width="10" customWidth="1"/>
    <col min="3083" max="3083" width="9.7109375" customWidth="1"/>
    <col min="3084" max="3084" width="10.42578125" customWidth="1"/>
    <col min="3331" max="3331" width="13.28515625" customWidth="1"/>
    <col min="3332" max="3333" width="11.5703125" customWidth="1"/>
    <col min="3334" max="3334" width="12.28515625" customWidth="1"/>
    <col min="3335" max="3335" width="9.7109375" customWidth="1"/>
    <col min="3336" max="3336" width="9.42578125" customWidth="1"/>
    <col min="3337" max="3337" width="9.28515625" customWidth="1"/>
    <col min="3338" max="3338" width="10" customWidth="1"/>
    <col min="3339" max="3339" width="9.7109375" customWidth="1"/>
    <col min="3340" max="3340" width="10.42578125" customWidth="1"/>
    <col min="3587" max="3587" width="13.28515625" customWidth="1"/>
    <col min="3588" max="3589" width="11.5703125" customWidth="1"/>
    <col min="3590" max="3590" width="12.28515625" customWidth="1"/>
    <col min="3591" max="3591" width="9.7109375" customWidth="1"/>
    <col min="3592" max="3592" width="9.42578125" customWidth="1"/>
    <col min="3593" max="3593" width="9.28515625" customWidth="1"/>
    <col min="3594" max="3594" width="10" customWidth="1"/>
    <col min="3595" max="3595" width="9.7109375" customWidth="1"/>
    <col min="3596" max="3596" width="10.42578125" customWidth="1"/>
    <col min="3843" max="3843" width="13.28515625" customWidth="1"/>
    <col min="3844" max="3845" width="11.5703125" customWidth="1"/>
    <col min="3846" max="3846" width="12.28515625" customWidth="1"/>
    <col min="3847" max="3847" width="9.7109375" customWidth="1"/>
    <col min="3848" max="3848" width="9.42578125" customWidth="1"/>
    <col min="3849" max="3849" width="9.28515625" customWidth="1"/>
    <col min="3850" max="3850" width="10" customWidth="1"/>
    <col min="3851" max="3851" width="9.7109375" customWidth="1"/>
    <col min="3852" max="3852" width="10.42578125" customWidth="1"/>
    <col min="4099" max="4099" width="13.28515625" customWidth="1"/>
    <col min="4100" max="4101" width="11.5703125" customWidth="1"/>
    <col min="4102" max="4102" width="12.28515625" customWidth="1"/>
    <col min="4103" max="4103" width="9.7109375" customWidth="1"/>
    <col min="4104" max="4104" width="9.42578125" customWidth="1"/>
    <col min="4105" max="4105" width="9.28515625" customWidth="1"/>
    <col min="4106" max="4106" width="10" customWidth="1"/>
    <col min="4107" max="4107" width="9.7109375" customWidth="1"/>
    <col min="4108" max="4108" width="10.42578125" customWidth="1"/>
    <col min="4355" max="4355" width="13.28515625" customWidth="1"/>
    <col min="4356" max="4357" width="11.5703125" customWidth="1"/>
    <col min="4358" max="4358" width="12.28515625" customWidth="1"/>
    <col min="4359" max="4359" width="9.7109375" customWidth="1"/>
    <col min="4360" max="4360" width="9.42578125" customWidth="1"/>
    <col min="4361" max="4361" width="9.28515625" customWidth="1"/>
    <col min="4362" max="4362" width="10" customWidth="1"/>
    <col min="4363" max="4363" width="9.7109375" customWidth="1"/>
    <col min="4364" max="4364" width="10.42578125" customWidth="1"/>
    <col min="4611" max="4611" width="13.28515625" customWidth="1"/>
    <col min="4612" max="4613" width="11.5703125" customWidth="1"/>
    <col min="4614" max="4614" width="12.28515625" customWidth="1"/>
    <col min="4615" max="4615" width="9.7109375" customWidth="1"/>
    <col min="4616" max="4616" width="9.42578125" customWidth="1"/>
    <col min="4617" max="4617" width="9.28515625" customWidth="1"/>
    <col min="4618" max="4618" width="10" customWidth="1"/>
    <col min="4619" max="4619" width="9.7109375" customWidth="1"/>
    <col min="4620" max="4620" width="10.42578125" customWidth="1"/>
    <col min="4867" max="4867" width="13.28515625" customWidth="1"/>
    <col min="4868" max="4869" width="11.5703125" customWidth="1"/>
    <col min="4870" max="4870" width="12.28515625" customWidth="1"/>
    <col min="4871" max="4871" width="9.7109375" customWidth="1"/>
    <col min="4872" max="4872" width="9.42578125" customWidth="1"/>
    <col min="4873" max="4873" width="9.28515625" customWidth="1"/>
    <col min="4874" max="4874" width="10" customWidth="1"/>
    <col min="4875" max="4875" width="9.7109375" customWidth="1"/>
    <col min="4876" max="4876" width="10.42578125" customWidth="1"/>
    <col min="5123" max="5123" width="13.28515625" customWidth="1"/>
    <col min="5124" max="5125" width="11.5703125" customWidth="1"/>
    <col min="5126" max="5126" width="12.28515625" customWidth="1"/>
    <col min="5127" max="5127" width="9.7109375" customWidth="1"/>
    <col min="5128" max="5128" width="9.42578125" customWidth="1"/>
    <col min="5129" max="5129" width="9.28515625" customWidth="1"/>
    <col min="5130" max="5130" width="10" customWidth="1"/>
    <col min="5131" max="5131" width="9.7109375" customWidth="1"/>
    <col min="5132" max="5132" width="10.42578125" customWidth="1"/>
    <col min="5379" max="5379" width="13.28515625" customWidth="1"/>
    <col min="5380" max="5381" width="11.5703125" customWidth="1"/>
    <col min="5382" max="5382" width="12.28515625" customWidth="1"/>
    <col min="5383" max="5383" width="9.7109375" customWidth="1"/>
    <col min="5384" max="5384" width="9.42578125" customWidth="1"/>
    <col min="5385" max="5385" width="9.28515625" customWidth="1"/>
    <col min="5386" max="5386" width="10" customWidth="1"/>
    <col min="5387" max="5387" width="9.7109375" customWidth="1"/>
    <col min="5388" max="5388" width="10.42578125" customWidth="1"/>
    <col min="5635" max="5635" width="13.28515625" customWidth="1"/>
    <col min="5636" max="5637" width="11.5703125" customWidth="1"/>
    <col min="5638" max="5638" width="12.28515625" customWidth="1"/>
    <col min="5639" max="5639" width="9.7109375" customWidth="1"/>
    <col min="5640" max="5640" width="9.42578125" customWidth="1"/>
    <col min="5641" max="5641" width="9.28515625" customWidth="1"/>
    <col min="5642" max="5642" width="10" customWidth="1"/>
    <col min="5643" max="5643" width="9.7109375" customWidth="1"/>
    <col min="5644" max="5644" width="10.42578125" customWidth="1"/>
    <col min="5891" max="5891" width="13.28515625" customWidth="1"/>
    <col min="5892" max="5893" width="11.5703125" customWidth="1"/>
    <col min="5894" max="5894" width="12.28515625" customWidth="1"/>
    <col min="5895" max="5895" width="9.7109375" customWidth="1"/>
    <col min="5896" max="5896" width="9.42578125" customWidth="1"/>
    <col min="5897" max="5897" width="9.28515625" customWidth="1"/>
    <col min="5898" max="5898" width="10" customWidth="1"/>
    <col min="5899" max="5899" width="9.7109375" customWidth="1"/>
    <col min="5900" max="5900" width="10.42578125" customWidth="1"/>
    <col min="6147" max="6147" width="13.28515625" customWidth="1"/>
    <col min="6148" max="6149" width="11.5703125" customWidth="1"/>
    <col min="6150" max="6150" width="12.28515625" customWidth="1"/>
    <col min="6151" max="6151" width="9.7109375" customWidth="1"/>
    <col min="6152" max="6152" width="9.42578125" customWidth="1"/>
    <col min="6153" max="6153" width="9.28515625" customWidth="1"/>
    <col min="6154" max="6154" width="10" customWidth="1"/>
    <col min="6155" max="6155" width="9.7109375" customWidth="1"/>
    <col min="6156" max="6156" width="10.42578125" customWidth="1"/>
    <col min="6403" max="6403" width="13.28515625" customWidth="1"/>
    <col min="6404" max="6405" width="11.5703125" customWidth="1"/>
    <col min="6406" max="6406" width="12.28515625" customWidth="1"/>
    <col min="6407" max="6407" width="9.7109375" customWidth="1"/>
    <col min="6408" max="6408" width="9.42578125" customWidth="1"/>
    <col min="6409" max="6409" width="9.28515625" customWidth="1"/>
    <col min="6410" max="6410" width="10" customWidth="1"/>
    <col min="6411" max="6411" width="9.7109375" customWidth="1"/>
    <col min="6412" max="6412" width="10.42578125" customWidth="1"/>
    <col min="6659" max="6659" width="13.28515625" customWidth="1"/>
    <col min="6660" max="6661" width="11.5703125" customWidth="1"/>
    <col min="6662" max="6662" width="12.28515625" customWidth="1"/>
    <col min="6663" max="6663" width="9.7109375" customWidth="1"/>
    <col min="6664" max="6664" width="9.42578125" customWidth="1"/>
    <col min="6665" max="6665" width="9.28515625" customWidth="1"/>
    <col min="6666" max="6666" width="10" customWidth="1"/>
    <col min="6667" max="6667" width="9.7109375" customWidth="1"/>
    <col min="6668" max="6668" width="10.42578125" customWidth="1"/>
    <col min="6915" max="6915" width="13.28515625" customWidth="1"/>
    <col min="6916" max="6917" width="11.5703125" customWidth="1"/>
    <col min="6918" max="6918" width="12.28515625" customWidth="1"/>
    <col min="6919" max="6919" width="9.7109375" customWidth="1"/>
    <col min="6920" max="6920" width="9.42578125" customWidth="1"/>
    <col min="6921" max="6921" width="9.28515625" customWidth="1"/>
    <col min="6922" max="6922" width="10" customWidth="1"/>
    <col min="6923" max="6923" width="9.7109375" customWidth="1"/>
    <col min="6924" max="6924" width="10.42578125" customWidth="1"/>
    <col min="7171" max="7171" width="13.28515625" customWidth="1"/>
    <col min="7172" max="7173" width="11.5703125" customWidth="1"/>
    <col min="7174" max="7174" width="12.28515625" customWidth="1"/>
    <col min="7175" max="7175" width="9.7109375" customWidth="1"/>
    <col min="7176" max="7176" width="9.42578125" customWidth="1"/>
    <col min="7177" max="7177" width="9.28515625" customWidth="1"/>
    <col min="7178" max="7178" width="10" customWidth="1"/>
    <col min="7179" max="7179" width="9.7109375" customWidth="1"/>
    <col min="7180" max="7180" width="10.42578125" customWidth="1"/>
    <col min="7427" max="7427" width="13.28515625" customWidth="1"/>
    <col min="7428" max="7429" width="11.5703125" customWidth="1"/>
    <col min="7430" max="7430" width="12.28515625" customWidth="1"/>
    <col min="7431" max="7431" width="9.7109375" customWidth="1"/>
    <col min="7432" max="7432" width="9.42578125" customWidth="1"/>
    <col min="7433" max="7433" width="9.28515625" customWidth="1"/>
    <col min="7434" max="7434" width="10" customWidth="1"/>
    <col min="7435" max="7435" width="9.7109375" customWidth="1"/>
    <col min="7436" max="7436" width="10.42578125" customWidth="1"/>
    <col min="7683" max="7683" width="13.28515625" customWidth="1"/>
    <col min="7684" max="7685" width="11.5703125" customWidth="1"/>
    <col min="7686" max="7686" width="12.28515625" customWidth="1"/>
    <col min="7687" max="7687" width="9.7109375" customWidth="1"/>
    <col min="7688" max="7688" width="9.42578125" customWidth="1"/>
    <col min="7689" max="7689" width="9.28515625" customWidth="1"/>
    <col min="7690" max="7690" width="10" customWidth="1"/>
    <col min="7691" max="7691" width="9.7109375" customWidth="1"/>
    <col min="7692" max="7692" width="10.42578125" customWidth="1"/>
    <col min="7939" max="7939" width="13.28515625" customWidth="1"/>
    <col min="7940" max="7941" width="11.5703125" customWidth="1"/>
    <col min="7942" max="7942" width="12.28515625" customWidth="1"/>
    <col min="7943" max="7943" width="9.7109375" customWidth="1"/>
    <col min="7944" max="7944" width="9.42578125" customWidth="1"/>
    <col min="7945" max="7945" width="9.28515625" customWidth="1"/>
    <col min="7946" max="7946" width="10" customWidth="1"/>
    <col min="7947" max="7947" width="9.7109375" customWidth="1"/>
    <col min="7948" max="7948" width="10.42578125" customWidth="1"/>
    <col min="8195" max="8195" width="13.28515625" customWidth="1"/>
    <col min="8196" max="8197" width="11.5703125" customWidth="1"/>
    <col min="8198" max="8198" width="12.28515625" customWidth="1"/>
    <col min="8199" max="8199" width="9.7109375" customWidth="1"/>
    <col min="8200" max="8200" width="9.42578125" customWidth="1"/>
    <col min="8201" max="8201" width="9.28515625" customWidth="1"/>
    <col min="8202" max="8202" width="10" customWidth="1"/>
    <col min="8203" max="8203" width="9.7109375" customWidth="1"/>
    <col min="8204" max="8204" width="10.42578125" customWidth="1"/>
    <col min="8451" max="8451" width="13.28515625" customWidth="1"/>
    <col min="8452" max="8453" width="11.5703125" customWidth="1"/>
    <col min="8454" max="8454" width="12.28515625" customWidth="1"/>
    <col min="8455" max="8455" width="9.7109375" customWidth="1"/>
    <col min="8456" max="8456" width="9.42578125" customWidth="1"/>
    <col min="8457" max="8457" width="9.28515625" customWidth="1"/>
    <col min="8458" max="8458" width="10" customWidth="1"/>
    <col min="8459" max="8459" width="9.7109375" customWidth="1"/>
    <col min="8460" max="8460" width="10.42578125" customWidth="1"/>
    <col min="8707" max="8707" width="13.28515625" customWidth="1"/>
    <col min="8708" max="8709" width="11.5703125" customWidth="1"/>
    <col min="8710" max="8710" width="12.28515625" customWidth="1"/>
    <col min="8711" max="8711" width="9.7109375" customWidth="1"/>
    <col min="8712" max="8712" width="9.42578125" customWidth="1"/>
    <col min="8713" max="8713" width="9.28515625" customWidth="1"/>
    <col min="8714" max="8714" width="10" customWidth="1"/>
    <col min="8715" max="8715" width="9.7109375" customWidth="1"/>
    <col min="8716" max="8716" width="10.42578125" customWidth="1"/>
    <col min="8963" max="8963" width="13.28515625" customWidth="1"/>
    <col min="8964" max="8965" width="11.5703125" customWidth="1"/>
    <col min="8966" max="8966" width="12.28515625" customWidth="1"/>
    <col min="8967" max="8967" width="9.7109375" customWidth="1"/>
    <col min="8968" max="8968" width="9.42578125" customWidth="1"/>
    <col min="8969" max="8969" width="9.28515625" customWidth="1"/>
    <col min="8970" max="8970" width="10" customWidth="1"/>
    <col min="8971" max="8971" width="9.7109375" customWidth="1"/>
    <col min="8972" max="8972" width="10.42578125" customWidth="1"/>
    <col min="9219" max="9219" width="13.28515625" customWidth="1"/>
    <col min="9220" max="9221" width="11.5703125" customWidth="1"/>
    <col min="9222" max="9222" width="12.28515625" customWidth="1"/>
    <col min="9223" max="9223" width="9.7109375" customWidth="1"/>
    <col min="9224" max="9224" width="9.42578125" customWidth="1"/>
    <col min="9225" max="9225" width="9.28515625" customWidth="1"/>
    <col min="9226" max="9226" width="10" customWidth="1"/>
    <col min="9227" max="9227" width="9.7109375" customWidth="1"/>
    <col min="9228" max="9228" width="10.42578125" customWidth="1"/>
    <col min="9475" max="9475" width="13.28515625" customWidth="1"/>
    <col min="9476" max="9477" width="11.5703125" customWidth="1"/>
    <col min="9478" max="9478" width="12.28515625" customWidth="1"/>
    <col min="9479" max="9479" width="9.7109375" customWidth="1"/>
    <col min="9480" max="9480" width="9.42578125" customWidth="1"/>
    <col min="9481" max="9481" width="9.28515625" customWidth="1"/>
    <col min="9482" max="9482" width="10" customWidth="1"/>
    <col min="9483" max="9483" width="9.7109375" customWidth="1"/>
    <col min="9484" max="9484" width="10.42578125" customWidth="1"/>
    <col min="9731" max="9731" width="13.28515625" customWidth="1"/>
    <col min="9732" max="9733" width="11.5703125" customWidth="1"/>
    <col min="9734" max="9734" width="12.28515625" customWidth="1"/>
    <col min="9735" max="9735" width="9.7109375" customWidth="1"/>
    <col min="9736" max="9736" width="9.42578125" customWidth="1"/>
    <col min="9737" max="9737" width="9.28515625" customWidth="1"/>
    <col min="9738" max="9738" width="10" customWidth="1"/>
    <col min="9739" max="9739" width="9.7109375" customWidth="1"/>
    <col min="9740" max="9740" width="10.42578125" customWidth="1"/>
    <col min="9987" max="9987" width="13.28515625" customWidth="1"/>
    <col min="9988" max="9989" width="11.5703125" customWidth="1"/>
    <col min="9990" max="9990" width="12.28515625" customWidth="1"/>
    <col min="9991" max="9991" width="9.7109375" customWidth="1"/>
    <col min="9992" max="9992" width="9.42578125" customWidth="1"/>
    <col min="9993" max="9993" width="9.28515625" customWidth="1"/>
    <col min="9994" max="9994" width="10" customWidth="1"/>
    <col min="9995" max="9995" width="9.7109375" customWidth="1"/>
    <col min="9996" max="9996" width="10.42578125" customWidth="1"/>
    <col min="10243" max="10243" width="13.28515625" customWidth="1"/>
    <col min="10244" max="10245" width="11.5703125" customWidth="1"/>
    <col min="10246" max="10246" width="12.28515625" customWidth="1"/>
    <col min="10247" max="10247" width="9.7109375" customWidth="1"/>
    <col min="10248" max="10248" width="9.42578125" customWidth="1"/>
    <col min="10249" max="10249" width="9.28515625" customWidth="1"/>
    <col min="10250" max="10250" width="10" customWidth="1"/>
    <col min="10251" max="10251" width="9.7109375" customWidth="1"/>
    <col min="10252" max="10252" width="10.42578125" customWidth="1"/>
    <col min="10499" max="10499" width="13.28515625" customWidth="1"/>
    <col min="10500" max="10501" width="11.5703125" customWidth="1"/>
    <col min="10502" max="10502" width="12.28515625" customWidth="1"/>
    <col min="10503" max="10503" width="9.7109375" customWidth="1"/>
    <col min="10504" max="10504" width="9.42578125" customWidth="1"/>
    <col min="10505" max="10505" width="9.28515625" customWidth="1"/>
    <col min="10506" max="10506" width="10" customWidth="1"/>
    <col min="10507" max="10507" width="9.7109375" customWidth="1"/>
    <col min="10508" max="10508" width="10.42578125" customWidth="1"/>
    <col min="10755" max="10755" width="13.28515625" customWidth="1"/>
    <col min="10756" max="10757" width="11.5703125" customWidth="1"/>
    <col min="10758" max="10758" width="12.28515625" customWidth="1"/>
    <col min="10759" max="10759" width="9.7109375" customWidth="1"/>
    <col min="10760" max="10760" width="9.42578125" customWidth="1"/>
    <col min="10761" max="10761" width="9.28515625" customWidth="1"/>
    <col min="10762" max="10762" width="10" customWidth="1"/>
    <col min="10763" max="10763" width="9.7109375" customWidth="1"/>
    <col min="10764" max="10764" width="10.42578125" customWidth="1"/>
    <col min="11011" max="11011" width="13.28515625" customWidth="1"/>
    <col min="11012" max="11013" width="11.5703125" customWidth="1"/>
    <col min="11014" max="11014" width="12.28515625" customWidth="1"/>
    <col min="11015" max="11015" width="9.7109375" customWidth="1"/>
    <col min="11016" max="11016" width="9.42578125" customWidth="1"/>
    <col min="11017" max="11017" width="9.28515625" customWidth="1"/>
    <col min="11018" max="11018" width="10" customWidth="1"/>
    <col min="11019" max="11019" width="9.7109375" customWidth="1"/>
    <col min="11020" max="11020" width="10.42578125" customWidth="1"/>
    <col min="11267" max="11267" width="13.28515625" customWidth="1"/>
    <col min="11268" max="11269" width="11.5703125" customWidth="1"/>
    <col min="11270" max="11270" width="12.28515625" customWidth="1"/>
    <col min="11271" max="11271" width="9.7109375" customWidth="1"/>
    <col min="11272" max="11272" width="9.42578125" customWidth="1"/>
    <col min="11273" max="11273" width="9.28515625" customWidth="1"/>
    <col min="11274" max="11274" width="10" customWidth="1"/>
    <col min="11275" max="11275" width="9.7109375" customWidth="1"/>
    <col min="11276" max="11276" width="10.42578125" customWidth="1"/>
    <col min="11523" max="11523" width="13.28515625" customWidth="1"/>
    <col min="11524" max="11525" width="11.5703125" customWidth="1"/>
    <col min="11526" max="11526" width="12.28515625" customWidth="1"/>
    <col min="11527" max="11527" width="9.7109375" customWidth="1"/>
    <col min="11528" max="11528" width="9.42578125" customWidth="1"/>
    <col min="11529" max="11529" width="9.28515625" customWidth="1"/>
    <col min="11530" max="11530" width="10" customWidth="1"/>
    <col min="11531" max="11531" width="9.7109375" customWidth="1"/>
    <col min="11532" max="11532" width="10.42578125" customWidth="1"/>
    <col min="11779" max="11779" width="13.28515625" customWidth="1"/>
    <col min="11780" max="11781" width="11.5703125" customWidth="1"/>
    <col min="11782" max="11782" width="12.28515625" customWidth="1"/>
    <col min="11783" max="11783" width="9.7109375" customWidth="1"/>
    <col min="11784" max="11784" width="9.42578125" customWidth="1"/>
    <col min="11785" max="11785" width="9.28515625" customWidth="1"/>
    <col min="11786" max="11786" width="10" customWidth="1"/>
    <col min="11787" max="11787" width="9.7109375" customWidth="1"/>
    <col min="11788" max="11788" width="10.42578125" customWidth="1"/>
    <col min="12035" max="12035" width="13.28515625" customWidth="1"/>
    <col min="12036" max="12037" width="11.5703125" customWidth="1"/>
    <col min="12038" max="12038" width="12.28515625" customWidth="1"/>
    <col min="12039" max="12039" width="9.7109375" customWidth="1"/>
    <col min="12040" max="12040" width="9.42578125" customWidth="1"/>
    <col min="12041" max="12041" width="9.28515625" customWidth="1"/>
    <col min="12042" max="12042" width="10" customWidth="1"/>
    <col min="12043" max="12043" width="9.7109375" customWidth="1"/>
    <col min="12044" max="12044" width="10.42578125" customWidth="1"/>
    <col min="12291" max="12291" width="13.28515625" customWidth="1"/>
    <col min="12292" max="12293" width="11.5703125" customWidth="1"/>
    <col min="12294" max="12294" width="12.28515625" customWidth="1"/>
    <col min="12295" max="12295" width="9.7109375" customWidth="1"/>
    <col min="12296" max="12296" width="9.42578125" customWidth="1"/>
    <col min="12297" max="12297" width="9.28515625" customWidth="1"/>
    <col min="12298" max="12298" width="10" customWidth="1"/>
    <col min="12299" max="12299" width="9.7109375" customWidth="1"/>
    <col min="12300" max="12300" width="10.42578125" customWidth="1"/>
    <col min="12547" max="12547" width="13.28515625" customWidth="1"/>
    <col min="12548" max="12549" width="11.5703125" customWidth="1"/>
    <col min="12550" max="12550" width="12.28515625" customWidth="1"/>
    <col min="12551" max="12551" width="9.7109375" customWidth="1"/>
    <col min="12552" max="12552" width="9.42578125" customWidth="1"/>
    <col min="12553" max="12553" width="9.28515625" customWidth="1"/>
    <col min="12554" max="12554" width="10" customWidth="1"/>
    <col min="12555" max="12555" width="9.7109375" customWidth="1"/>
    <col min="12556" max="12556" width="10.42578125" customWidth="1"/>
    <col min="12803" max="12803" width="13.28515625" customWidth="1"/>
    <col min="12804" max="12805" width="11.5703125" customWidth="1"/>
    <col min="12806" max="12806" width="12.28515625" customWidth="1"/>
    <col min="12807" max="12807" width="9.7109375" customWidth="1"/>
    <col min="12808" max="12808" width="9.42578125" customWidth="1"/>
    <col min="12809" max="12809" width="9.28515625" customWidth="1"/>
    <col min="12810" max="12810" width="10" customWidth="1"/>
    <col min="12811" max="12811" width="9.7109375" customWidth="1"/>
    <col min="12812" max="12812" width="10.42578125" customWidth="1"/>
    <col min="13059" max="13059" width="13.28515625" customWidth="1"/>
    <col min="13060" max="13061" width="11.5703125" customWidth="1"/>
    <col min="13062" max="13062" width="12.28515625" customWidth="1"/>
    <col min="13063" max="13063" width="9.7109375" customWidth="1"/>
    <col min="13064" max="13064" width="9.42578125" customWidth="1"/>
    <col min="13065" max="13065" width="9.28515625" customWidth="1"/>
    <col min="13066" max="13066" width="10" customWidth="1"/>
    <col min="13067" max="13067" width="9.7109375" customWidth="1"/>
    <col min="13068" max="13068" width="10.42578125" customWidth="1"/>
    <col min="13315" max="13315" width="13.28515625" customWidth="1"/>
    <col min="13316" max="13317" width="11.5703125" customWidth="1"/>
    <col min="13318" max="13318" width="12.28515625" customWidth="1"/>
    <col min="13319" max="13319" width="9.7109375" customWidth="1"/>
    <col min="13320" max="13320" width="9.42578125" customWidth="1"/>
    <col min="13321" max="13321" width="9.28515625" customWidth="1"/>
    <col min="13322" max="13322" width="10" customWidth="1"/>
    <col min="13323" max="13323" width="9.7109375" customWidth="1"/>
    <col min="13324" max="13324" width="10.42578125" customWidth="1"/>
    <col min="13571" max="13571" width="13.28515625" customWidth="1"/>
    <col min="13572" max="13573" width="11.5703125" customWidth="1"/>
    <col min="13574" max="13574" width="12.28515625" customWidth="1"/>
    <col min="13575" max="13575" width="9.7109375" customWidth="1"/>
    <col min="13576" max="13576" width="9.42578125" customWidth="1"/>
    <col min="13577" max="13577" width="9.28515625" customWidth="1"/>
    <col min="13578" max="13578" width="10" customWidth="1"/>
    <col min="13579" max="13579" width="9.7109375" customWidth="1"/>
    <col min="13580" max="13580" width="10.42578125" customWidth="1"/>
    <col min="13827" max="13827" width="13.28515625" customWidth="1"/>
    <col min="13828" max="13829" width="11.5703125" customWidth="1"/>
    <col min="13830" max="13830" width="12.28515625" customWidth="1"/>
    <col min="13831" max="13831" width="9.7109375" customWidth="1"/>
    <col min="13832" max="13832" width="9.42578125" customWidth="1"/>
    <col min="13833" max="13833" width="9.28515625" customWidth="1"/>
    <col min="13834" max="13834" width="10" customWidth="1"/>
    <col min="13835" max="13835" width="9.7109375" customWidth="1"/>
    <col min="13836" max="13836" width="10.42578125" customWidth="1"/>
    <col min="14083" max="14083" width="13.28515625" customWidth="1"/>
    <col min="14084" max="14085" width="11.5703125" customWidth="1"/>
    <col min="14086" max="14086" width="12.28515625" customWidth="1"/>
    <col min="14087" max="14087" width="9.7109375" customWidth="1"/>
    <col min="14088" max="14088" width="9.42578125" customWidth="1"/>
    <col min="14089" max="14089" width="9.28515625" customWidth="1"/>
    <col min="14090" max="14090" width="10" customWidth="1"/>
    <col min="14091" max="14091" width="9.7109375" customWidth="1"/>
    <col min="14092" max="14092" width="10.42578125" customWidth="1"/>
    <col min="14339" max="14339" width="13.28515625" customWidth="1"/>
    <col min="14340" max="14341" width="11.5703125" customWidth="1"/>
    <col min="14342" max="14342" width="12.28515625" customWidth="1"/>
    <col min="14343" max="14343" width="9.7109375" customWidth="1"/>
    <col min="14344" max="14344" width="9.42578125" customWidth="1"/>
    <col min="14345" max="14345" width="9.28515625" customWidth="1"/>
    <col min="14346" max="14346" width="10" customWidth="1"/>
    <col min="14347" max="14347" width="9.7109375" customWidth="1"/>
    <col min="14348" max="14348" width="10.42578125" customWidth="1"/>
    <col min="14595" max="14595" width="13.28515625" customWidth="1"/>
    <col min="14596" max="14597" width="11.5703125" customWidth="1"/>
    <col min="14598" max="14598" width="12.28515625" customWidth="1"/>
    <col min="14599" max="14599" width="9.7109375" customWidth="1"/>
    <col min="14600" max="14600" width="9.42578125" customWidth="1"/>
    <col min="14601" max="14601" width="9.28515625" customWidth="1"/>
    <col min="14602" max="14602" width="10" customWidth="1"/>
    <col min="14603" max="14603" width="9.7109375" customWidth="1"/>
    <col min="14604" max="14604" width="10.42578125" customWidth="1"/>
    <col min="14851" max="14851" width="13.28515625" customWidth="1"/>
    <col min="14852" max="14853" width="11.5703125" customWidth="1"/>
    <col min="14854" max="14854" width="12.28515625" customWidth="1"/>
    <col min="14855" max="14855" width="9.7109375" customWidth="1"/>
    <col min="14856" max="14856" width="9.42578125" customWidth="1"/>
    <col min="14857" max="14857" width="9.28515625" customWidth="1"/>
    <col min="14858" max="14858" width="10" customWidth="1"/>
    <col min="14859" max="14859" width="9.7109375" customWidth="1"/>
    <col min="14860" max="14860" width="10.42578125" customWidth="1"/>
    <col min="15107" max="15107" width="13.28515625" customWidth="1"/>
    <col min="15108" max="15109" width="11.5703125" customWidth="1"/>
    <col min="15110" max="15110" width="12.28515625" customWidth="1"/>
    <col min="15111" max="15111" width="9.7109375" customWidth="1"/>
    <col min="15112" max="15112" width="9.42578125" customWidth="1"/>
    <col min="15113" max="15113" width="9.28515625" customWidth="1"/>
    <col min="15114" max="15114" width="10" customWidth="1"/>
    <col min="15115" max="15115" width="9.7109375" customWidth="1"/>
    <col min="15116" max="15116" width="10.42578125" customWidth="1"/>
    <col min="15363" max="15363" width="13.28515625" customWidth="1"/>
    <col min="15364" max="15365" width="11.5703125" customWidth="1"/>
    <col min="15366" max="15366" width="12.28515625" customWidth="1"/>
    <col min="15367" max="15367" width="9.7109375" customWidth="1"/>
    <col min="15368" max="15368" width="9.42578125" customWidth="1"/>
    <col min="15369" max="15369" width="9.28515625" customWidth="1"/>
    <col min="15370" max="15370" width="10" customWidth="1"/>
    <col min="15371" max="15371" width="9.7109375" customWidth="1"/>
    <col min="15372" max="15372" width="10.42578125" customWidth="1"/>
    <col min="15619" max="15619" width="13.28515625" customWidth="1"/>
    <col min="15620" max="15621" width="11.5703125" customWidth="1"/>
    <col min="15622" max="15622" width="12.28515625" customWidth="1"/>
    <col min="15623" max="15623" width="9.7109375" customWidth="1"/>
    <col min="15624" max="15624" width="9.42578125" customWidth="1"/>
    <col min="15625" max="15625" width="9.28515625" customWidth="1"/>
    <col min="15626" max="15626" width="10" customWidth="1"/>
    <col min="15627" max="15627" width="9.7109375" customWidth="1"/>
    <col min="15628" max="15628" width="10.42578125" customWidth="1"/>
    <col min="15875" max="15875" width="13.28515625" customWidth="1"/>
    <col min="15876" max="15877" width="11.5703125" customWidth="1"/>
    <col min="15878" max="15878" width="12.28515625" customWidth="1"/>
    <col min="15879" max="15879" width="9.7109375" customWidth="1"/>
    <col min="15880" max="15880" width="9.42578125" customWidth="1"/>
    <col min="15881" max="15881" width="9.28515625" customWidth="1"/>
    <col min="15882" max="15882" width="10" customWidth="1"/>
    <col min="15883" max="15883" width="9.7109375" customWidth="1"/>
    <col min="15884" max="15884" width="10.42578125" customWidth="1"/>
    <col min="16131" max="16131" width="13.28515625" customWidth="1"/>
    <col min="16132" max="16133" width="11.5703125" customWidth="1"/>
    <col min="16134" max="16134" width="12.28515625" customWidth="1"/>
    <col min="16135" max="16135" width="9.7109375" customWidth="1"/>
    <col min="16136" max="16136" width="9.42578125" customWidth="1"/>
    <col min="16137" max="16137" width="9.28515625" customWidth="1"/>
    <col min="16138" max="16138" width="10" customWidth="1"/>
    <col min="16139" max="16139" width="9.7109375" customWidth="1"/>
    <col min="16140" max="16140" width="10.42578125" customWidth="1"/>
  </cols>
  <sheetData>
    <row r="1" spans="1:13" x14ac:dyDescent="0.2">
      <c r="A1" s="52" t="str">
        <f>"Commodity Pricing:  "&amp;TEXT(A7,"mmm-yy")&amp;" - "&amp;TEXT(A12,"mmm-yy")</f>
        <v>Commodity Pricing:  May-18 - Oct-18</v>
      </c>
      <c r="B1" s="53"/>
    </row>
    <row r="2" spans="1:13" ht="13.5" customHeight="1" x14ac:dyDescent="0.2">
      <c r="A2" s="54" t="str">
        <f>'WUTC_KENT_MF 181017'!A1</f>
        <v>Kent-Meridian Disposal</v>
      </c>
      <c r="B2" s="54"/>
    </row>
    <row r="3" spans="1:13" ht="13.5" customHeight="1" x14ac:dyDescent="0.2">
      <c r="A3" s="54"/>
      <c r="B3" s="54"/>
    </row>
    <row r="4" spans="1:13" x14ac:dyDescent="0.2">
      <c r="B4" s="64"/>
      <c r="C4" s="56" t="s">
        <v>21</v>
      </c>
      <c r="D4" s="56" t="s">
        <v>22</v>
      </c>
      <c r="E4" s="56" t="s">
        <v>55</v>
      </c>
      <c r="F4" s="56" t="s">
        <v>23</v>
      </c>
      <c r="G4" s="56" t="s">
        <v>24</v>
      </c>
      <c r="H4" s="56" t="s">
        <v>25</v>
      </c>
      <c r="I4" s="56" t="s">
        <v>26</v>
      </c>
      <c r="J4" s="56" t="s">
        <v>27</v>
      </c>
      <c r="K4" s="56" t="s">
        <v>28</v>
      </c>
      <c r="L4" s="56" t="s">
        <v>29</v>
      </c>
      <c r="M4" s="56"/>
    </row>
    <row r="5" spans="1:13" x14ac:dyDescent="0.2">
      <c r="B5" s="64"/>
      <c r="C5" s="107">
        <v>69</v>
      </c>
      <c r="D5" s="107">
        <v>71</v>
      </c>
      <c r="E5" s="107">
        <v>72</v>
      </c>
      <c r="F5" s="107">
        <v>67</v>
      </c>
      <c r="G5" s="107">
        <v>64</v>
      </c>
      <c r="H5" s="107">
        <v>74</v>
      </c>
      <c r="I5" s="107">
        <v>68</v>
      </c>
      <c r="J5" s="107">
        <v>68</v>
      </c>
      <c r="K5" s="107">
        <v>65</v>
      </c>
      <c r="L5" s="107">
        <v>73</v>
      </c>
      <c r="M5" s="64"/>
    </row>
    <row r="6" spans="1:13" x14ac:dyDescent="0.2">
      <c r="B6" s="64"/>
      <c r="C6" s="64"/>
      <c r="D6" s="64"/>
      <c r="E6" s="64"/>
      <c r="F6" s="64"/>
      <c r="G6" s="64"/>
      <c r="H6" s="64"/>
      <c r="I6" s="64"/>
      <c r="J6" s="64"/>
      <c r="K6" s="64"/>
      <c r="L6" s="64"/>
      <c r="M6" s="64"/>
    </row>
    <row r="7" spans="1:13" x14ac:dyDescent="0.2">
      <c r="A7" s="59">
        <f>+'Commodity Tons MF 181017 '!A7</f>
        <v>43251</v>
      </c>
      <c r="B7" s="64"/>
      <c r="C7" s="65">
        <f>HLOOKUP($A7,'Multi_Family 181017'!$C$6:$N$79,C$5,FALSE)</f>
        <v>1082.8499999999999</v>
      </c>
      <c r="D7" s="69">
        <f>HLOOKUP($A7,'Multi_Family 181017'!$C$6:$N$79,D$5,FALSE)</f>
        <v>-25.26</v>
      </c>
      <c r="E7" s="69">
        <f>HLOOKUP($A7,'Multi_Family 181017'!$C$6:$N$79,E$5,FALSE)</f>
        <v>0</v>
      </c>
      <c r="F7" s="65">
        <f>HLOOKUP($A7,'Multi_Family 181017'!$C$6:$N$79,F$5,FALSE)</f>
        <v>90.64</v>
      </c>
      <c r="G7" s="65">
        <f>HLOOKUP($A7,'Multi_Family 181017'!$C$6:$N$79,G$5,FALSE)</f>
        <v>0</v>
      </c>
      <c r="H7" s="65">
        <f>HLOOKUP($A7,'Multi_Family 181017'!$C$6:$N$79,H$5,FALSE)</f>
        <v>-14.309999999999999</v>
      </c>
      <c r="I7" s="65">
        <f>HLOOKUP($A7,'Multi_Family 181017'!$C$6:$N$79,I$5,FALSE)</f>
        <v>100.47</v>
      </c>
      <c r="J7" s="65">
        <f>HLOOKUP($A7,'Multi_Family 181017'!$C$6:$N$79,J$5,FALSE)</f>
        <v>100.47</v>
      </c>
      <c r="K7" s="65">
        <f>HLOOKUP($A7,'Multi_Family 181017'!$C$6:$N$79,K$5,FALSE)</f>
        <v>43.519999999999996</v>
      </c>
      <c r="L7" s="69">
        <f>HLOOKUP($A7,'Multi_Family 181017'!$C$6:$N$79,L$5,FALSE)</f>
        <v>-134.59</v>
      </c>
      <c r="M7" s="64"/>
    </row>
    <row r="8" spans="1:13" x14ac:dyDescent="0.2">
      <c r="A8" s="59">
        <f>+'Commodity Tons MF 181017 '!A8</f>
        <v>43281</v>
      </c>
      <c r="B8" s="64"/>
      <c r="C8" s="65">
        <f>HLOOKUP($A8,'Multi_Family 181017'!$C$6:$N$79,C$5,FALSE)</f>
        <v>1119.26</v>
      </c>
      <c r="D8" s="69">
        <f>HLOOKUP($A8,'Multi_Family 181017'!$C$6:$N$79,D$5,FALSE)</f>
        <v>-19.13</v>
      </c>
      <c r="E8" s="69">
        <f>HLOOKUP($A8,'Multi_Family 181017'!$C$6:$N$79,E$5,FALSE)</f>
        <v>0</v>
      </c>
      <c r="F8" s="65">
        <f>HLOOKUP($A8,'Multi_Family 181017'!$C$6:$N$79,F$5,FALSE)</f>
        <v>93.07</v>
      </c>
      <c r="G8" s="65">
        <f>HLOOKUP($A8,'Multi_Family 181017'!$C$6:$N$79,G$5,FALSE)</f>
        <v>0</v>
      </c>
      <c r="H8" s="65">
        <f>HLOOKUP($A8,'Multi_Family 181017'!$C$6:$N$79,H$5,FALSE)</f>
        <v>2</v>
      </c>
      <c r="I8" s="65">
        <f>HLOOKUP($A8,'Multi_Family 181017'!$C$6:$N$79,I$5,FALSE)</f>
        <v>87.96</v>
      </c>
      <c r="J8" s="65">
        <f>HLOOKUP($A8,'Multi_Family 181017'!$C$6:$N$79,J$5,FALSE)</f>
        <v>87.96</v>
      </c>
      <c r="K8" s="65">
        <f>HLOOKUP($A8,'Multi_Family 181017'!$C$6:$N$79,K$5,FALSE)</f>
        <v>60.11</v>
      </c>
      <c r="L8" s="69">
        <f>HLOOKUP($A8,'Multi_Family 181017'!$C$6:$N$79,L$5,FALSE)</f>
        <v>-134.59</v>
      </c>
      <c r="M8" s="64"/>
    </row>
    <row r="9" spans="1:13" x14ac:dyDescent="0.2">
      <c r="A9" s="59">
        <f>+'Commodity Tons MF 181017 '!A9</f>
        <v>43312</v>
      </c>
      <c r="B9" s="60"/>
      <c r="C9" s="65">
        <f>HLOOKUP($A9,'Multi_Family 181017'!$C$6:$N$79,C$5,FALSE)</f>
        <v>1065.1300000000001</v>
      </c>
      <c r="D9" s="69">
        <f>HLOOKUP($A9,'Multi_Family 181017'!$C$6:$N$79,D$5,FALSE)</f>
        <v>-3.5700000000000003</v>
      </c>
      <c r="E9" s="69">
        <f>HLOOKUP($A9,'Multi_Family 181017'!$C$6:$N$79,E$5,FALSE)</f>
        <v>0</v>
      </c>
      <c r="F9" s="65">
        <f>HLOOKUP($A9,'Multi_Family 181017'!$C$6:$N$79,F$5,FALSE)</f>
        <v>91.06</v>
      </c>
      <c r="G9" s="65">
        <f>HLOOKUP($A9,'Multi_Family 181017'!$C$6:$N$79,G$5,FALSE)</f>
        <v>0</v>
      </c>
      <c r="H9" s="65">
        <f>HLOOKUP($A9,'Multi_Family 181017'!$C$6:$N$79,H$5,FALSE)</f>
        <v>4.1900000000000004</v>
      </c>
      <c r="I9" s="65">
        <f>HLOOKUP($A9,'Multi_Family 181017'!$C$6:$N$79,I$5,FALSE)</f>
        <v>109.23</v>
      </c>
      <c r="J9" s="65">
        <f>HLOOKUP($A9,'Multi_Family 181017'!$C$6:$N$79,J$5,FALSE)</f>
        <v>109.23</v>
      </c>
      <c r="K9" s="65">
        <f>HLOOKUP($A9,'Multi_Family 181017'!$C$6:$N$79,K$5,FALSE)</f>
        <v>68.38</v>
      </c>
      <c r="L9" s="69">
        <f>HLOOKUP($A9,'Multi_Family 181017'!$C$6:$N$79,L$5,FALSE)</f>
        <v>-134.59</v>
      </c>
      <c r="M9" s="61"/>
    </row>
    <row r="10" spans="1:13" x14ac:dyDescent="0.2">
      <c r="A10" s="59">
        <f>+'Commodity Tons MF 181017 '!A10</f>
        <v>43343</v>
      </c>
      <c r="B10" s="60"/>
      <c r="C10" s="65">
        <f>HLOOKUP($A10,'Multi_Family 181017'!$C$6:$N$79,C$5,FALSE)</f>
        <v>1065.1300000000001</v>
      </c>
      <c r="D10" s="69">
        <f>HLOOKUP($A10,'Multi_Family 181017'!$C$6:$N$79,D$5,FALSE)</f>
        <v>0.74</v>
      </c>
      <c r="E10" s="69">
        <f>HLOOKUP($A10,'Multi_Family 181017'!$C$6:$N$79,E$5,FALSE)</f>
        <v>0</v>
      </c>
      <c r="F10" s="65">
        <f>HLOOKUP($A10,'Multi_Family 181017'!$C$6:$N$79,F$5,FALSE)</f>
        <v>61.85</v>
      </c>
      <c r="G10" s="65">
        <f>HLOOKUP($A10,'Multi_Family 181017'!$C$6:$N$79,G$5,FALSE)</f>
        <v>0</v>
      </c>
      <c r="H10" s="65">
        <f>HLOOKUP($A10,'Multi_Family 181017'!$C$6:$N$79,H$5,FALSE)</f>
        <v>8.42</v>
      </c>
      <c r="I10" s="65">
        <f>HLOOKUP($A10,'Multi_Family 181017'!$C$6:$N$79,I$5,FALSE)</f>
        <v>168.5</v>
      </c>
      <c r="J10" s="65">
        <f>HLOOKUP($A10,'Multi_Family 181017'!$C$6:$N$79,J$5,FALSE)</f>
        <v>168.5</v>
      </c>
      <c r="K10" s="65">
        <f>HLOOKUP($A10,'Multi_Family 181017'!$C$6:$N$79,K$5,FALSE)</f>
        <v>60.64</v>
      </c>
      <c r="L10" s="69">
        <f>HLOOKUP($A10,'Multi_Family 181017'!$C$6:$N$79,L$5,FALSE)</f>
        <v>-134.59</v>
      </c>
      <c r="M10" s="61"/>
    </row>
    <row r="11" spans="1:13" x14ac:dyDescent="0.2">
      <c r="A11" s="59">
        <f>+'Commodity Tons MF 181017 '!A11</f>
        <v>43373</v>
      </c>
      <c r="B11" s="60"/>
      <c r="C11" s="65">
        <f>HLOOKUP($A11,'Multi_Family 181017'!$C$6:$N$79,C$5,FALSE)</f>
        <v>940.58</v>
      </c>
      <c r="D11" s="69">
        <f>HLOOKUP($A11,'Multi_Family 181017'!$C$6:$N$79,D$5,FALSE)</f>
        <v>-14.63</v>
      </c>
      <c r="E11" s="69">
        <f>HLOOKUP($A11,'Multi_Family 181017'!$C$6:$N$79,E$5,FALSE)</f>
        <v>0</v>
      </c>
      <c r="F11" s="65">
        <f>HLOOKUP($A11,'Multi_Family 181017'!$C$6:$N$79,F$5,FALSE)</f>
        <v>69.650000000000006</v>
      </c>
      <c r="G11" s="65">
        <f>HLOOKUP($A11,'Multi_Family 181017'!$C$6:$N$79,G$5,FALSE)</f>
        <v>0</v>
      </c>
      <c r="H11" s="65">
        <f>HLOOKUP($A11,'Multi_Family 181017'!$C$6:$N$79,H$5,FALSE)</f>
        <v>26.9</v>
      </c>
      <c r="I11" s="65">
        <f>HLOOKUP($A11,'Multi_Family 181017'!$C$6:$N$79,I$5,FALSE)</f>
        <v>78.83</v>
      </c>
      <c r="J11" s="65">
        <f>HLOOKUP($A11,'Multi_Family 181017'!$C$6:$N$79,J$5,FALSE)</f>
        <v>78.83</v>
      </c>
      <c r="K11" s="65">
        <f>HLOOKUP($A11,'Multi_Family 181017'!$C$6:$N$79,K$5,FALSE)</f>
        <v>63.85</v>
      </c>
      <c r="L11" s="69">
        <f>HLOOKUP($A11,'Multi_Family 181017'!$C$6:$N$79,L$5,FALSE)</f>
        <v>-134.59</v>
      </c>
      <c r="M11" s="61"/>
    </row>
    <row r="12" spans="1:13" x14ac:dyDescent="0.2">
      <c r="A12" s="59">
        <f>+'Commodity Tons MF 181017 '!A12</f>
        <v>43404</v>
      </c>
      <c r="B12" s="60"/>
      <c r="C12" s="65">
        <f>HLOOKUP($A12,'Multi_Family 181017'!$C$6:$N$79,C$5,FALSE)</f>
        <v>918.23</v>
      </c>
      <c r="D12" s="69">
        <f>HLOOKUP($A12,'Multi_Family 181017'!$C$6:$N$79,D$5,FALSE)</f>
        <v>-16.670000000000002</v>
      </c>
      <c r="E12" s="69">
        <f>HLOOKUP($A12,'Multi_Family 181017'!$C$6:$N$79,E$5,FALSE)</f>
        <v>0</v>
      </c>
      <c r="F12" s="65">
        <f>HLOOKUP($A12,'Multi_Family 181017'!$C$6:$N$79,F$5,FALSE)</f>
        <v>78.180000000000007</v>
      </c>
      <c r="G12" s="65">
        <f>HLOOKUP($A12,'Multi_Family 181017'!$C$6:$N$79,G$5,FALSE)</f>
        <v>0</v>
      </c>
      <c r="H12" s="65">
        <f>HLOOKUP($A12,'Multi_Family 181017'!$C$6:$N$79,H$5,FALSE)</f>
        <v>25.77</v>
      </c>
      <c r="I12" s="65">
        <f>HLOOKUP($A12,'Multi_Family 181017'!$C$6:$N$79,I$5,FALSE)</f>
        <v>75.260000000000005</v>
      </c>
      <c r="J12" s="65">
        <f>HLOOKUP($A12,'Multi_Family 181017'!$C$6:$N$79,J$5,FALSE)</f>
        <v>75.260000000000005</v>
      </c>
      <c r="K12" s="65">
        <f>HLOOKUP($A12,'Multi_Family 181017'!$C$6:$N$79,K$5,FALSE)</f>
        <v>71.680000000000007</v>
      </c>
      <c r="L12" s="69">
        <f>HLOOKUP($A12,'Multi_Family 181017'!$C$6:$N$79,L$5,FALSE)</f>
        <v>-134.59</v>
      </c>
      <c r="M12" s="61"/>
    </row>
    <row r="13" spans="1:13" x14ac:dyDescent="0.2">
      <c r="A13" s="59">
        <f>+'Commodity Tons MF 181017 '!A13</f>
        <v>43434</v>
      </c>
      <c r="B13" s="60"/>
      <c r="C13" s="65">
        <f>HLOOKUP($A13,'Multi_Family 181017'!$C$6:$N$79,C$5,FALSE)</f>
        <v>0</v>
      </c>
      <c r="D13" s="69">
        <f>HLOOKUP($A13,'Multi_Family 181017'!$C$6:$N$79,D$5,FALSE)</f>
        <v>0</v>
      </c>
      <c r="E13" s="69">
        <f>HLOOKUP($A13,'Multi_Family 181017'!$C$6:$N$79,E$5,FALSE)</f>
        <v>0</v>
      </c>
      <c r="F13" s="65">
        <f>HLOOKUP($A13,'Multi_Family 181017'!$C$6:$N$79,F$5,FALSE)</f>
        <v>0</v>
      </c>
      <c r="G13" s="65">
        <f>HLOOKUP($A13,'Multi_Family 181017'!$C$6:$N$79,G$5,FALSE)</f>
        <v>0</v>
      </c>
      <c r="H13" s="65">
        <f>HLOOKUP($A13,'Multi_Family 181017'!$C$6:$N$79,H$5,FALSE)</f>
        <v>0</v>
      </c>
      <c r="I13" s="65">
        <f>HLOOKUP($A13,'Multi_Family 181017'!$C$6:$N$79,I$5,FALSE)</f>
        <v>0</v>
      </c>
      <c r="J13" s="65">
        <f>HLOOKUP($A13,'Multi_Family 181017'!$C$6:$N$79,J$5,FALSE)</f>
        <v>0</v>
      </c>
      <c r="K13" s="65">
        <f>HLOOKUP($A13,'Multi_Family 181017'!$C$6:$N$79,K$5,FALSE)</f>
        <v>0</v>
      </c>
      <c r="L13" s="69">
        <f>HLOOKUP($A13,'Multi_Family 181017'!$C$6:$N$79,L$5,FALSE)</f>
        <v>0</v>
      </c>
      <c r="M13" s="61"/>
    </row>
    <row r="14" spans="1:13" x14ac:dyDescent="0.2">
      <c r="A14" s="59">
        <f>+'Commodity Tons MF 181017 '!A14</f>
        <v>43465</v>
      </c>
      <c r="B14" s="60"/>
      <c r="C14" s="65">
        <f>HLOOKUP($A14,'Multi_Family 181017'!$C$6:$N$79,C$5,FALSE)</f>
        <v>0</v>
      </c>
      <c r="D14" s="69">
        <f>HLOOKUP($A14,'Multi_Family 181017'!$C$6:$N$79,D$5,FALSE)</f>
        <v>0</v>
      </c>
      <c r="E14" s="69">
        <f>HLOOKUP($A14,'Multi_Family 181017'!$C$6:$N$79,E$5,FALSE)</f>
        <v>0</v>
      </c>
      <c r="F14" s="65">
        <f>HLOOKUP($A14,'Multi_Family 181017'!$C$6:$N$79,F$5,FALSE)</f>
        <v>0</v>
      </c>
      <c r="G14" s="65">
        <f>HLOOKUP($A14,'Multi_Family 181017'!$C$6:$N$79,G$5,FALSE)</f>
        <v>0</v>
      </c>
      <c r="H14" s="65">
        <f>HLOOKUP($A14,'Multi_Family 181017'!$C$6:$N$79,H$5,FALSE)</f>
        <v>0</v>
      </c>
      <c r="I14" s="65">
        <f>HLOOKUP($A14,'Multi_Family 181017'!$C$6:$N$79,I$5,FALSE)</f>
        <v>0</v>
      </c>
      <c r="J14" s="65">
        <f>HLOOKUP($A14,'Multi_Family 181017'!$C$6:$N$79,J$5,FALSE)</f>
        <v>0</v>
      </c>
      <c r="K14" s="65">
        <f>HLOOKUP($A14,'Multi_Family 181017'!$C$6:$N$79,K$5,FALSE)</f>
        <v>0</v>
      </c>
      <c r="L14" s="69">
        <f>HLOOKUP($A14,'Multi_Family 181017'!$C$6:$N$79,L$5,FALSE)</f>
        <v>0</v>
      </c>
      <c r="M14" s="61"/>
    </row>
    <row r="15" spans="1:13" x14ac:dyDescent="0.2">
      <c r="A15" s="59">
        <f>+'Commodity Tons MF 181017 '!A15</f>
        <v>43496</v>
      </c>
      <c r="B15" s="60"/>
      <c r="C15" s="65">
        <f>HLOOKUP($A15,'Multi_Family 181017'!$C$6:$N$79,C$5,FALSE)</f>
        <v>0</v>
      </c>
      <c r="D15" s="69">
        <f>HLOOKUP($A15,'Multi_Family 181017'!$C$6:$N$79,D$5,FALSE)</f>
        <v>0</v>
      </c>
      <c r="E15" s="69">
        <f>HLOOKUP($A15,'Multi_Family 181017'!$C$6:$N$79,E$5,FALSE)</f>
        <v>0</v>
      </c>
      <c r="F15" s="65">
        <f>HLOOKUP($A15,'Multi_Family 181017'!$C$6:$N$79,F$5,FALSE)</f>
        <v>0</v>
      </c>
      <c r="G15" s="65">
        <f>HLOOKUP($A15,'Multi_Family 181017'!$C$6:$N$79,G$5,FALSE)</f>
        <v>0</v>
      </c>
      <c r="H15" s="65">
        <f>HLOOKUP($A15,'Multi_Family 181017'!$C$6:$N$79,H$5,FALSE)</f>
        <v>0</v>
      </c>
      <c r="I15" s="65">
        <f>HLOOKUP($A15,'Multi_Family 181017'!$C$6:$N$79,I$5,FALSE)</f>
        <v>0</v>
      </c>
      <c r="J15" s="65">
        <f>HLOOKUP($A15,'Multi_Family 181017'!$C$6:$N$79,J$5,FALSE)</f>
        <v>0</v>
      </c>
      <c r="K15" s="65">
        <f>HLOOKUP($A15,'Multi_Family 181017'!$C$6:$N$79,K$5,FALSE)</f>
        <v>0</v>
      </c>
      <c r="L15" s="69">
        <f>HLOOKUP($A15,'Multi_Family 181017'!$C$6:$N$79,L$5,FALSE)</f>
        <v>0</v>
      </c>
      <c r="M15" s="61"/>
    </row>
    <row r="16" spans="1:13" x14ac:dyDescent="0.2">
      <c r="A16" s="59">
        <f>+'Commodity Tons MF 181017 '!A16</f>
        <v>43524</v>
      </c>
      <c r="B16" s="60"/>
      <c r="C16" s="65">
        <f>HLOOKUP($A16,'Multi_Family 181017'!$C$6:$N$79,C$5,FALSE)</f>
        <v>0</v>
      </c>
      <c r="D16" s="69">
        <f>HLOOKUP($A16,'Multi_Family 181017'!$C$6:$N$79,D$5,FALSE)</f>
        <v>0</v>
      </c>
      <c r="E16" s="69">
        <f>HLOOKUP($A16,'Multi_Family 181017'!$C$6:$N$79,E$5,FALSE)</f>
        <v>0</v>
      </c>
      <c r="F16" s="65">
        <f>HLOOKUP($A16,'Multi_Family 181017'!$C$6:$N$79,F$5,FALSE)</f>
        <v>0</v>
      </c>
      <c r="G16" s="65">
        <f>HLOOKUP($A16,'Multi_Family 181017'!$C$6:$N$79,G$5,FALSE)</f>
        <v>0</v>
      </c>
      <c r="H16" s="65">
        <f>HLOOKUP($A16,'Multi_Family 181017'!$C$6:$N$79,H$5,FALSE)</f>
        <v>0</v>
      </c>
      <c r="I16" s="65">
        <f>HLOOKUP($A16,'Multi_Family 181017'!$C$6:$N$79,I$5,FALSE)</f>
        <v>0</v>
      </c>
      <c r="J16" s="65">
        <f>HLOOKUP($A16,'Multi_Family 181017'!$C$6:$N$79,J$5,FALSE)</f>
        <v>0</v>
      </c>
      <c r="K16" s="65">
        <f>HLOOKUP($A16,'Multi_Family 181017'!$C$6:$N$79,K$5,FALSE)</f>
        <v>0</v>
      </c>
      <c r="L16" s="69">
        <f>HLOOKUP($A16,'Multi_Family 181017'!$C$6:$N$79,L$5,FALSE)</f>
        <v>0</v>
      </c>
      <c r="M16" s="61"/>
    </row>
    <row r="17" spans="1:14" x14ac:dyDescent="0.2">
      <c r="A17" s="59">
        <f>+'Commodity Tons MF 181017 '!A17</f>
        <v>43555</v>
      </c>
      <c r="B17" s="60"/>
      <c r="C17" s="65">
        <f>HLOOKUP($A17,'Multi_Family 181017'!$C$6:$N$79,C$5,FALSE)</f>
        <v>0</v>
      </c>
      <c r="D17" s="69">
        <f>HLOOKUP($A17,'Multi_Family 181017'!$C$6:$N$79,D$5,FALSE)</f>
        <v>0</v>
      </c>
      <c r="E17" s="69">
        <f>HLOOKUP($A17,'Multi_Family 181017'!$C$6:$N$79,E$5,FALSE)</f>
        <v>0</v>
      </c>
      <c r="F17" s="65">
        <f>HLOOKUP($A17,'Multi_Family 181017'!$C$6:$N$79,F$5,FALSE)</f>
        <v>0</v>
      </c>
      <c r="G17" s="65">
        <f>HLOOKUP($A17,'Multi_Family 181017'!$C$6:$N$79,G$5,FALSE)</f>
        <v>0</v>
      </c>
      <c r="H17" s="65">
        <f>HLOOKUP($A17,'Multi_Family 181017'!$C$6:$N$79,H$5,FALSE)</f>
        <v>0</v>
      </c>
      <c r="I17" s="65">
        <f>HLOOKUP($A17,'Multi_Family 181017'!$C$6:$N$79,I$5,FALSE)</f>
        <v>0</v>
      </c>
      <c r="J17" s="65">
        <f>HLOOKUP($A17,'Multi_Family 181017'!$C$6:$N$79,J$5,FALSE)</f>
        <v>0</v>
      </c>
      <c r="K17" s="65">
        <f>HLOOKUP($A17,'Multi_Family 181017'!$C$6:$N$79,K$5,FALSE)</f>
        <v>0</v>
      </c>
      <c r="L17" s="69">
        <f>HLOOKUP($A17,'Multi_Family 181017'!$C$6:$N$79,L$5,FALSE)</f>
        <v>0</v>
      </c>
      <c r="M17" s="61"/>
    </row>
    <row r="18" spans="1:14" x14ac:dyDescent="0.2">
      <c r="A18" s="59">
        <f>+'Commodity Tons MF 181017 '!A18</f>
        <v>43585</v>
      </c>
      <c r="B18" s="60"/>
      <c r="C18" s="65">
        <f>HLOOKUP($A18,'Multi_Family 181017'!$C$6:$N$79,C$5,FALSE)</f>
        <v>0</v>
      </c>
      <c r="D18" s="69">
        <f>HLOOKUP($A18,'Multi_Family 181017'!$C$6:$N$79,D$5,FALSE)</f>
        <v>0</v>
      </c>
      <c r="E18" s="69">
        <f>HLOOKUP($A18,'Multi_Family 181017'!$C$6:$N$79,E$5,FALSE)</f>
        <v>0</v>
      </c>
      <c r="F18" s="65">
        <f>HLOOKUP($A18,'Multi_Family 181017'!$C$6:$N$79,F$5,FALSE)</f>
        <v>0</v>
      </c>
      <c r="G18" s="65">
        <f>HLOOKUP($A18,'Multi_Family 181017'!$C$6:$N$79,G$5,FALSE)</f>
        <v>0</v>
      </c>
      <c r="H18" s="65">
        <f>HLOOKUP($A18,'Multi_Family 181017'!$C$6:$N$79,H$5,FALSE)</f>
        <v>0</v>
      </c>
      <c r="I18" s="65">
        <f>HLOOKUP($A18,'Multi_Family 181017'!$C$6:$N$79,I$5,FALSE)</f>
        <v>0</v>
      </c>
      <c r="J18" s="65">
        <f>HLOOKUP($A18,'Multi_Family 181017'!$C$6:$N$79,J$5,FALSE)</f>
        <v>0</v>
      </c>
      <c r="K18" s="65">
        <f>HLOOKUP($A18,'Multi_Family 181017'!$C$6:$N$79,K$5,FALSE)</f>
        <v>0</v>
      </c>
      <c r="L18" s="69">
        <f>HLOOKUP($A18,'Multi_Family 181017'!$C$6:$N$79,L$5,FALSE)</f>
        <v>0</v>
      </c>
      <c r="M18" s="61"/>
    </row>
    <row r="19" spans="1:14" x14ac:dyDescent="0.2">
      <c r="A19" s="60"/>
      <c r="B19" s="60"/>
      <c r="C19" s="61"/>
      <c r="D19" s="61"/>
      <c r="E19" s="61"/>
      <c r="F19" s="61"/>
      <c r="G19" s="61"/>
      <c r="H19" s="61"/>
      <c r="I19" s="61"/>
      <c r="J19" s="61"/>
      <c r="K19" s="61"/>
      <c r="L19" s="60"/>
      <c r="M19" s="61"/>
    </row>
    <row r="20" spans="1:14" x14ac:dyDescent="0.2">
      <c r="A20" s="63"/>
      <c r="B20" s="60"/>
      <c r="C20" s="61"/>
      <c r="D20" s="61"/>
      <c r="E20" s="61"/>
      <c r="F20" s="61"/>
      <c r="G20" s="61"/>
      <c r="H20" s="61"/>
      <c r="I20" s="61"/>
      <c r="J20" s="61"/>
      <c r="K20" s="61"/>
      <c r="L20" s="61"/>
      <c r="M20" s="61"/>
      <c r="N20" s="61" t="s">
        <v>31</v>
      </c>
    </row>
    <row r="21" spans="1:14" x14ac:dyDescent="0.2">
      <c r="A21" s="60"/>
      <c r="B21" s="60"/>
      <c r="C21" s="60"/>
      <c r="D21" s="60"/>
      <c r="E21" s="60"/>
      <c r="F21" s="60"/>
      <c r="G21" s="60"/>
      <c r="H21" s="60"/>
      <c r="I21" s="60"/>
      <c r="J21" s="60"/>
      <c r="K21" s="60"/>
      <c r="L21" s="60"/>
      <c r="M21" s="61"/>
    </row>
    <row r="22" spans="1:14" x14ac:dyDescent="0.2">
      <c r="A22" s="60"/>
      <c r="B22" s="60"/>
      <c r="C22" s="60"/>
      <c r="D22" s="60"/>
      <c r="E22" s="60"/>
      <c r="F22" s="60"/>
      <c r="G22" s="60"/>
      <c r="H22" s="60"/>
      <c r="I22" s="60"/>
      <c r="J22" s="60"/>
      <c r="K22" s="60"/>
      <c r="L22" s="60"/>
      <c r="M22" s="61"/>
    </row>
    <row r="23" spans="1:14" x14ac:dyDescent="0.2">
      <c r="A23" s="60"/>
      <c r="B23" s="60"/>
      <c r="C23" s="60"/>
      <c r="D23" s="60"/>
      <c r="E23" s="60"/>
      <c r="F23" s="60"/>
      <c r="G23" s="60"/>
      <c r="H23" s="60"/>
      <c r="I23" s="60"/>
      <c r="J23" s="60"/>
      <c r="K23" s="60"/>
      <c r="L23" s="60"/>
      <c r="M23" s="61"/>
    </row>
    <row r="24" spans="1:14" x14ac:dyDescent="0.2">
      <c r="A24" s="60"/>
      <c r="B24" s="60"/>
      <c r="C24" s="60"/>
      <c r="D24" s="60"/>
      <c r="E24" s="60"/>
      <c r="F24" s="60"/>
      <c r="G24" s="60"/>
      <c r="H24" s="60"/>
      <c r="I24" s="60"/>
      <c r="J24" s="60"/>
      <c r="K24" s="60"/>
      <c r="L24" s="60"/>
      <c r="M24" s="61"/>
    </row>
    <row r="25" spans="1:14" x14ac:dyDescent="0.2">
      <c r="A25" s="60"/>
      <c r="B25" s="60"/>
      <c r="C25" s="60"/>
      <c r="D25" s="60"/>
      <c r="E25" s="60"/>
      <c r="F25" s="60"/>
      <c r="G25" s="60"/>
      <c r="H25" s="60"/>
      <c r="I25" s="60"/>
      <c r="J25" s="60"/>
      <c r="K25" s="60"/>
      <c r="L25" s="60"/>
      <c r="M25" s="61"/>
    </row>
    <row r="26" spans="1:14" x14ac:dyDescent="0.2">
      <c r="A26" s="60"/>
      <c r="B26" s="60"/>
      <c r="C26" s="60"/>
      <c r="D26" s="60"/>
      <c r="E26" s="60"/>
      <c r="F26" s="60"/>
      <c r="G26" s="60"/>
      <c r="H26" s="60"/>
      <c r="I26" s="60"/>
      <c r="J26" s="60"/>
      <c r="K26" s="60"/>
      <c r="L26" s="60"/>
      <c r="M26" s="61"/>
    </row>
    <row r="27" spans="1:14" x14ac:dyDescent="0.2">
      <c r="A27" s="60"/>
      <c r="B27" s="60"/>
      <c r="C27" s="60"/>
      <c r="D27" s="60"/>
      <c r="E27" s="60"/>
      <c r="F27" s="60"/>
      <c r="G27" s="60"/>
      <c r="H27" s="60"/>
      <c r="I27" s="60"/>
      <c r="J27" s="60"/>
      <c r="K27" s="60"/>
      <c r="L27" s="60"/>
      <c r="M27" s="61"/>
    </row>
    <row r="28" spans="1:14" x14ac:dyDescent="0.2">
      <c r="A28" s="60"/>
      <c r="B28" s="60"/>
      <c r="C28" s="60"/>
      <c r="D28" s="60"/>
      <c r="E28" s="60"/>
      <c r="F28" s="60"/>
      <c r="G28" s="60"/>
      <c r="H28" s="60"/>
      <c r="I28" s="60"/>
      <c r="J28" s="60"/>
      <c r="K28" s="60"/>
      <c r="L28" s="60"/>
      <c r="M28" s="61"/>
    </row>
    <row r="29" spans="1:14" x14ac:dyDescent="0.2">
      <c r="A29" s="60"/>
      <c r="B29" s="60"/>
      <c r="C29" s="60"/>
      <c r="D29" s="60"/>
      <c r="E29" s="60"/>
      <c r="F29" s="60"/>
      <c r="G29" s="60"/>
      <c r="H29" s="60"/>
      <c r="I29" s="60"/>
      <c r="J29" s="60"/>
      <c r="K29" s="60"/>
      <c r="L29" s="60"/>
      <c r="M29" s="61"/>
    </row>
    <row r="30" spans="1:14" x14ac:dyDescent="0.2">
      <c r="A30" s="60"/>
      <c r="B30" s="60"/>
      <c r="C30" s="60"/>
      <c r="D30" s="60"/>
      <c r="E30" s="60"/>
      <c r="F30" s="60"/>
      <c r="G30" s="60"/>
      <c r="H30" s="60"/>
      <c r="I30" s="60"/>
      <c r="J30" s="60"/>
      <c r="K30" s="60"/>
      <c r="L30" s="60"/>
      <c r="M30" s="61"/>
    </row>
    <row r="31" spans="1:14" x14ac:dyDescent="0.2">
      <c r="A31" s="60"/>
      <c r="B31" s="60"/>
      <c r="C31" s="60"/>
      <c r="D31" s="60"/>
      <c r="E31" s="60"/>
      <c r="F31" s="60"/>
      <c r="G31" s="60"/>
      <c r="H31" s="60"/>
      <c r="I31" s="60"/>
      <c r="J31" s="60"/>
      <c r="K31" s="60"/>
      <c r="L31" s="60"/>
      <c r="M31" s="60"/>
    </row>
    <row r="32" spans="1:14" x14ac:dyDescent="0.2">
      <c r="A32" s="60"/>
      <c r="B32" s="60"/>
      <c r="C32" s="60"/>
      <c r="D32" s="60"/>
      <c r="E32" s="60"/>
      <c r="F32" s="60"/>
      <c r="G32" s="60"/>
      <c r="H32" s="60"/>
      <c r="I32" s="60"/>
      <c r="J32" s="60"/>
      <c r="K32" s="60"/>
      <c r="L32" s="60"/>
      <c r="M32" s="60"/>
    </row>
    <row r="33" spans="1:13" x14ac:dyDescent="0.2">
      <c r="A33" s="60"/>
      <c r="B33" s="60"/>
      <c r="C33" s="60"/>
      <c r="D33" s="60"/>
      <c r="E33" s="60"/>
      <c r="F33" s="60"/>
      <c r="G33" s="60"/>
      <c r="H33" s="60"/>
      <c r="I33" s="60"/>
      <c r="J33" s="60"/>
      <c r="K33" s="60"/>
      <c r="L33" s="60"/>
      <c r="M33" s="60"/>
    </row>
    <row r="34" spans="1:13" x14ac:dyDescent="0.2">
      <c r="A34" s="60"/>
      <c r="B34" s="60"/>
      <c r="C34" s="60"/>
      <c r="D34" s="60"/>
      <c r="E34" s="60"/>
      <c r="F34" s="60"/>
      <c r="G34" s="60"/>
      <c r="H34" s="60"/>
      <c r="I34" s="60"/>
      <c r="J34" s="60"/>
      <c r="K34" s="60"/>
      <c r="L34" s="60"/>
      <c r="M34" s="60"/>
    </row>
    <row r="35" spans="1:13" x14ac:dyDescent="0.2">
      <c r="A35" s="60"/>
      <c r="B35" s="60"/>
      <c r="C35" s="60"/>
      <c r="D35" s="60"/>
      <c r="E35" s="60"/>
      <c r="F35" s="60"/>
      <c r="G35" s="60"/>
      <c r="H35" s="60"/>
      <c r="I35" s="60"/>
      <c r="J35" s="60"/>
      <c r="K35" s="60"/>
      <c r="L35" s="60"/>
      <c r="M35" s="60"/>
    </row>
    <row r="36" spans="1:13" x14ac:dyDescent="0.2">
      <c r="A36" s="60"/>
      <c r="B36" s="60"/>
      <c r="C36" s="60"/>
      <c r="D36" s="60"/>
      <c r="E36" s="60"/>
      <c r="F36" s="60"/>
      <c r="G36" s="60"/>
      <c r="H36" s="60"/>
      <c r="I36" s="60"/>
      <c r="J36" s="60"/>
      <c r="K36" s="60"/>
      <c r="L36" s="60"/>
      <c r="M36" s="60"/>
    </row>
    <row r="37" spans="1:13" x14ac:dyDescent="0.2">
      <c r="A37" s="60"/>
      <c r="B37" s="60"/>
      <c r="C37" s="60"/>
      <c r="D37" s="60"/>
      <c r="E37" s="60"/>
      <c r="F37" s="60"/>
      <c r="G37" s="60"/>
      <c r="H37" s="60"/>
      <c r="I37" s="60"/>
      <c r="J37" s="60"/>
      <c r="K37" s="60"/>
      <c r="L37" s="60"/>
      <c r="M37" s="60"/>
    </row>
    <row r="38" spans="1:13" x14ac:dyDescent="0.2">
      <c r="A38" s="60"/>
      <c r="B38" s="60"/>
      <c r="C38" s="60"/>
      <c r="D38" s="60"/>
      <c r="E38" s="60"/>
      <c r="F38" s="60"/>
      <c r="G38" s="60"/>
      <c r="H38" s="60"/>
      <c r="I38" s="60"/>
      <c r="J38" s="60"/>
      <c r="K38" s="60"/>
      <c r="L38" s="60"/>
      <c r="M38" s="60"/>
    </row>
    <row r="39" spans="1:13" x14ac:dyDescent="0.2">
      <c r="A39" s="60"/>
      <c r="B39" s="60"/>
      <c r="C39" s="60"/>
      <c r="D39" s="60"/>
      <c r="E39" s="60"/>
      <c r="F39" s="60"/>
      <c r="G39" s="60"/>
      <c r="H39" s="60"/>
      <c r="I39" s="60"/>
      <c r="J39" s="60"/>
      <c r="K39" s="60"/>
      <c r="L39" s="60"/>
      <c r="M39" s="60"/>
    </row>
    <row r="40" spans="1:13" x14ac:dyDescent="0.2">
      <c r="A40" s="60"/>
      <c r="B40" s="60"/>
      <c r="C40" s="60"/>
      <c r="D40" s="60"/>
      <c r="E40" s="60"/>
      <c r="F40" s="60"/>
      <c r="G40" s="60"/>
      <c r="H40" s="60"/>
      <c r="I40" s="60"/>
      <c r="J40" s="60"/>
      <c r="K40" s="60"/>
      <c r="L40" s="60"/>
      <c r="M40" s="60"/>
    </row>
    <row r="41" spans="1:13" x14ac:dyDescent="0.2">
      <c r="A41" s="60"/>
      <c r="B41" s="60"/>
      <c r="C41" s="60"/>
      <c r="D41" s="60"/>
      <c r="E41" s="60"/>
      <c r="F41" s="60"/>
      <c r="G41" s="60"/>
      <c r="H41" s="60"/>
      <c r="I41" s="60"/>
      <c r="J41" s="60"/>
      <c r="K41" s="60"/>
      <c r="L41" s="60"/>
      <c r="M41" s="60"/>
    </row>
    <row r="42" spans="1:13" x14ac:dyDescent="0.2">
      <c r="A42" s="60"/>
      <c r="B42" s="60"/>
      <c r="C42" s="60"/>
      <c r="D42" s="60"/>
      <c r="E42" s="60"/>
      <c r="F42" s="60"/>
      <c r="G42" s="60"/>
      <c r="H42" s="60"/>
      <c r="I42" s="60"/>
      <c r="J42" s="60"/>
      <c r="K42" s="60"/>
      <c r="L42" s="60"/>
      <c r="M42" s="60"/>
    </row>
    <row r="43" spans="1:13" x14ac:dyDescent="0.2">
      <c r="A43" s="60"/>
      <c r="B43" s="60"/>
      <c r="C43" s="60"/>
      <c r="D43" s="60"/>
      <c r="E43" s="60"/>
      <c r="F43" s="60"/>
      <c r="G43" s="60"/>
      <c r="H43" s="60"/>
      <c r="I43" s="60"/>
      <c r="J43" s="60"/>
      <c r="K43" s="60"/>
      <c r="L43" s="60"/>
      <c r="M43" s="60"/>
    </row>
    <row r="44" spans="1:13" x14ac:dyDescent="0.2">
      <c r="A44" s="60"/>
      <c r="B44" s="60"/>
      <c r="C44" s="60"/>
      <c r="D44" s="60"/>
      <c r="E44" s="60"/>
      <c r="F44" s="60"/>
      <c r="G44" s="60"/>
      <c r="H44" s="60"/>
      <c r="I44" s="60"/>
      <c r="J44" s="60"/>
      <c r="K44" s="60"/>
      <c r="L44" s="60"/>
      <c r="M44" s="60"/>
    </row>
    <row r="45" spans="1:13" x14ac:dyDescent="0.2">
      <c r="A45" s="60"/>
      <c r="B45" s="60"/>
      <c r="C45" s="60"/>
      <c r="D45" s="60"/>
      <c r="E45" s="60"/>
      <c r="F45" s="60"/>
      <c r="G45" s="60"/>
      <c r="H45" s="60"/>
      <c r="I45" s="60"/>
      <c r="J45" s="60"/>
      <c r="K45" s="60"/>
      <c r="L45" s="60"/>
      <c r="M45" s="60"/>
    </row>
    <row r="46" spans="1:13" x14ac:dyDescent="0.2">
      <c r="A46" s="60"/>
      <c r="B46" s="60"/>
      <c r="C46" s="60"/>
      <c r="D46" s="60"/>
      <c r="E46" s="60"/>
      <c r="F46" s="60"/>
      <c r="G46" s="60"/>
      <c r="H46" s="60"/>
      <c r="I46" s="60"/>
      <c r="J46" s="60"/>
      <c r="K46" s="60"/>
      <c r="L46" s="60"/>
      <c r="M46" s="60"/>
    </row>
    <row r="47" spans="1:13" x14ac:dyDescent="0.2">
      <c r="A47" s="60"/>
      <c r="B47" s="60"/>
      <c r="C47" s="60"/>
      <c r="D47" s="60"/>
      <c r="E47" s="60"/>
      <c r="F47" s="60"/>
      <c r="G47" s="60"/>
      <c r="H47" s="60"/>
      <c r="I47" s="60"/>
      <c r="J47" s="60"/>
      <c r="K47" s="60"/>
      <c r="L47" s="60"/>
      <c r="M47" s="60"/>
    </row>
    <row r="48" spans="1:13" x14ac:dyDescent="0.2">
      <c r="A48" s="60"/>
      <c r="B48" s="60"/>
      <c r="C48" s="60"/>
      <c r="D48" s="60"/>
      <c r="E48" s="60"/>
      <c r="F48" s="60"/>
      <c r="G48" s="60"/>
      <c r="H48" s="60"/>
      <c r="I48" s="60"/>
      <c r="J48" s="60"/>
      <c r="K48" s="60"/>
      <c r="L48" s="60"/>
      <c r="M48" s="60"/>
    </row>
    <row r="49" spans="1:13" x14ac:dyDescent="0.2">
      <c r="A49" s="60"/>
      <c r="B49" s="60"/>
      <c r="C49" s="60"/>
      <c r="D49" s="60"/>
      <c r="E49" s="60"/>
      <c r="F49" s="60"/>
      <c r="G49" s="60"/>
      <c r="H49" s="60"/>
      <c r="I49" s="60"/>
      <c r="J49" s="60"/>
      <c r="K49" s="60"/>
      <c r="L49" s="60"/>
      <c r="M49" s="60"/>
    </row>
    <row r="50" spans="1:13" x14ac:dyDescent="0.2">
      <c r="A50" s="60"/>
      <c r="B50" s="60"/>
      <c r="C50" s="60"/>
      <c r="D50" s="60"/>
      <c r="E50" s="60"/>
      <c r="F50" s="60"/>
      <c r="G50" s="60"/>
      <c r="H50" s="60"/>
      <c r="I50" s="60"/>
      <c r="J50" s="60"/>
      <c r="K50" s="60"/>
      <c r="L50" s="60"/>
      <c r="M50" s="60"/>
    </row>
    <row r="51" spans="1:13" x14ac:dyDescent="0.2">
      <c r="A51" s="60"/>
      <c r="B51" s="60"/>
      <c r="C51" s="60"/>
      <c r="D51" s="60"/>
      <c r="E51" s="60"/>
      <c r="F51" s="60"/>
      <c r="G51" s="60"/>
      <c r="H51" s="60"/>
      <c r="I51" s="60"/>
      <c r="J51" s="60"/>
      <c r="K51" s="60"/>
      <c r="L51" s="60"/>
      <c r="M51" s="60"/>
    </row>
    <row r="52" spans="1:13" x14ac:dyDescent="0.2">
      <c r="A52" s="60"/>
      <c r="B52" s="60"/>
      <c r="C52" s="60"/>
      <c r="D52" s="60"/>
      <c r="E52" s="60"/>
      <c r="F52" s="60"/>
      <c r="G52" s="60"/>
      <c r="H52" s="60"/>
      <c r="I52" s="60"/>
      <c r="J52" s="60"/>
      <c r="K52" s="60"/>
      <c r="L52" s="60"/>
      <c r="M52" s="60"/>
    </row>
    <row r="53" spans="1:13" x14ac:dyDescent="0.2">
      <c r="A53" s="60"/>
      <c r="B53" s="60"/>
      <c r="C53" s="60"/>
      <c r="D53" s="60"/>
      <c r="E53" s="60"/>
      <c r="F53" s="60"/>
      <c r="G53" s="60"/>
      <c r="H53" s="60"/>
      <c r="I53" s="60"/>
      <c r="J53" s="60"/>
      <c r="K53" s="60"/>
      <c r="L53" s="60"/>
      <c r="M53" s="60"/>
    </row>
    <row r="54" spans="1:13" x14ac:dyDescent="0.2">
      <c r="A54" s="60"/>
      <c r="B54" s="60"/>
      <c r="C54" s="60"/>
      <c r="D54" s="60"/>
      <c r="E54" s="60"/>
      <c r="F54" s="60"/>
      <c r="G54" s="60"/>
      <c r="H54" s="60"/>
      <c r="I54" s="60"/>
      <c r="J54" s="60"/>
      <c r="K54" s="60"/>
      <c r="L54" s="60"/>
      <c r="M54" s="60"/>
    </row>
    <row r="55" spans="1:13" x14ac:dyDescent="0.2">
      <c r="A55" s="60"/>
      <c r="B55" s="60"/>
      <c r="C55" s="60"/>
      <c r="D55" s="60"/>
      <c r="E55" s="60"/>
      <c r="F55" s="60"/>
      <c r="G55" s="60"/>
      <c r="H55" s="60"/>
      <c r="I55" s="60"/>
      <c r="J55" s="60"/>
      <c r="K55" s="60"/>
      <c r="L55" s="60"/>
      <c r="M55" s="60"/>
    </row>
    <row r="56" spans="1:13" x14ac:dyDescent="0.2">
      <c r="A56" s="60"/>
      <c r="B56" s="60"/>
      <c r="C56" s="60"/>
      <c r="D56" s="60"/>
      <c r="E56" s="60"/>
      <c r="F56" s="60"/>
      <c r="G56" s="60"/>
      <c r="H56" s="60"/>
      <c r="I56" s="60"/>
      <c r="J56" s="60"/>
      <c r="K56" s="60"/>
      <c r="L56" s="60"/>
      <c r="M56" s="60"/>
    </row>
    <row r="57" spans="1:13" x14ac:dyDescent="0.2">
      <c r="A57" s="60"/>
      <c r="B57" s="60"/>
      <c r="C57" s="60"/>
      <c r="D57" s="60"/>
      <c r="E57" s="60"/>
      <c r="F57" s="60"/>
      <c r="G57" s="60"/>
      <c r="H57" s="60"/>
      <c r="I57" s="60"/>
      <c r="J57" s="60"/>
      <c r="K57" s="60"/>
      <c r="L57" s="60"/>
      <c r="M57" s="60"/>
    </row>
    <row r="58" spans="1:13" x14ac:dyDescent="0.2">
      <c r="A58" s="60"/>
      <c r="B58" s="60"/>
      <c r="C58" s="60"/>
      <c r="D58" s="60"/>
      <c r="E58" s="60"/>
      <c r="F58" s="60"/>
      <c r="G58" s="60"/>
      <c r="H58" s="60"/>
      <c r="I58" s="60"/>
      <c r="J58" s="60"/>
      <c r="K58" s="60"/>
      <c r="L58" s="60"/>
      <c r="M58" s="60"/>
    </row>
    <row r="59" spans="1:13" x14ac:dyDescent="0.2">
      <c r="A59" s="60"/>
      <c r="B59" s="60"/>
      <c r="C59" s="60"/>
      <c r="D59" s="60"/>
      <c r="E59" s="60"/>
      <c r="F59" s="60"/>
      <c r="G59" s="60"/>
      <c r="H59" s="60"/>
      <c r="I59" s="60"/>
      <c r="J59" s="60"/>
      <c r="K59" s="60"/>
      <c r="L59" s="60"/>
      <c r="M59" s="60"/>
    </row>
    <row r="60" spans="1:13" x14ac:dyDescent="0.2">
      <c r="A60" s="60"/>
      <c r="B60" s="60"/>
      <c r="C60" s="60"/>
      <c r="D60" s="60"/>
      <c r="E60" s="60"/>
      <c r="F60" s="60"/>
      <c r="G60" s="60"/>
      <c r="H60" s="60"/>
      <c r="I60" s="60"/>
      <c r="J60" s="60"/>
      <c r="K60" s="60"/>
      <c r="L60" s="60"/>
      <c r="M60" s="60"/>
    </row>
    <row r="61" spans="1:13" x14ac:dyDescent="0.2">
      <c r="A61" s="60"/>
      <c r="B61" s="60"/>
      <c r="C61" s="60"/>
      <c r="D61" s="60"/>
      <c r="E61" s="60"/>
      <c r="F61" s="60"/>
      <c r="G61" s="60"/>
      <c r="H61" s="60"/>
      <c r="I61" s="60"/>
      <c r="J61" s="60"/>
      <c r="K61" s="60"/>
      <c r="L61" s="60"/>
      <c r="M61" s="60"/>
    </row>
    <row r="62" spans="1:13" x14ac:dyDescent="0.2">
      <c r="A62" s="60"/>
      <c r="B62" s="60"/>
      <c r="C62" s="60"/>
      <c r="D62" s="60"/>
      <c r="E62" s="60"/>
      <c r="F62" s="60"/>
      <c r="G62" s="60"/>
      <c r="H62" s="60"/>
      <c r="I62" s="60"/>
      <c r="J62" s="60"/>
      <c r="K62" s="60"/>
      <c r="L62" s="60"/>
      <c r="M62" s="60"/>
    </row>
    <row r="63" spans="1:13" x14ac:dyDescent="0.2">
      <c r="A63" s="60"/>
      <c r="B63" s="60"/>
      <c r="C63" s="60"/>
      <c r="D63" s="60"/>
      <c r="E63" s="60"/>
      <c r="F63" s="60"/>
      <c r="G63" s="60"/>
      <c r="H63" s="60"/>
      <c r="I63" s="60"/>
      <c r="J63" s="60"/>
      <c r="K63" s="60"/>
      <c r="L63" s="60"/>
      <c r="M63" s="60"/>
    </row>
    <row r="64" spans="1:13" x14ac:dyDescent="0.2">
      <c r="A64" s="60"/>
      <c r="B64" s="60"/>
      <c r="C64" s="60"/>
      <c r="D64" s="60"/>
      <c r="E64" s="60"/>
      <c r="F64" s="60"/>
      <c r="G64" s="60"/>
      <c r="H64" s="60"/>
      <c r="I64" s="60"/>
      <c r="J64" s="60"/>
      <c r="K64" s="60"/>
      <c r="L64" s="60"/>
      <c r="M64" s="60"/>
    </row>
    <row r="65" spans="1:13" x14ac:dyDescent="0.2">
      <c r="A65" s="60"/>
      <c r="B65" s="60"/>
      <c r="C65" s="60"/>
      <c r="D65" s="60"/>
      <c r="E65" s="60"/>
      <c r="F65" s="60"/>
      <c r="G65" s="60"/>
      <c r="H65" s="60"/>
      <c r="I65" s="60"/>
      <c r="J65" s="60"/>
      <c r="K65" s="60"/>
      <c r="L65" s="60"/>
      <c r="M65" s="60"/>
    </row>
    <row r="66" spans="1:13" x14ac:dyDescent="0.2">
      <c r="A66" s="60"/>
      <c r="B66" s="60"/>
      <c r="C66" s="60"/>
      <c r="D66" s="60"/>
      <c r="E66" s="60"/>
      <c r="F66" s="60"/>
      <c r="G66" s="60"/>
      <c r="H66" s="60"/>
      <c r="I66" s="60"/>
      <c r="J66" s="60"/>
      <c r="K66" s="60"/>
      <c r="L66" s="60"/>
      <c r="M66" s="60"/>
    </row>
    <row r="67" spans="1:13" x14ac:dyDescent="0.2">
      <c r="A67" s="60"/>
      <c r="B67" s="60"/>
      <c r="C67" s="60"/>
      <c r="D67" s="60"/>
      <c r="E67" s="60"/>
      <c r="F67" s="60"/>
      <c r="G67" s="60"/>
      <c r="H67" s="60"/>
      <c r="I67" s="60"/>
      <c r="J67" s="60"/>
      <c r="K67" s="60"/>
      <c r="L67" s="60"/>
      <c r="M67" s="60"/>
    </row>
    <row r="68" spans="1:13" x14ac:dyDescent="0.2">
      <c r="A68" s="60"/>
      <c r="B68" s="60"/>
      <c r="C68" s="60"/>
      <c r="D68" s="60"/>
      <c r="E68" s="60"/>
      <c r="F68" s="60"/>
      <c r="G68" s="60"/>
      <c r="H68" s="60"/>
      <c r="I68" s="60"/>
      <c r="J68" s="60"/>
      <c r="K68" s="60"/>
      <c r="L68" s="60"/>
      <c r="M68" s="60"/>
    </row>
    <row r="69" spans="1:13" x14ac:dyDescent="0.2">
      <c r="A69" s="60"/>
      <c r="B69" s="60"/>
      <c r="C69" s="60"/>
      <c r="D69" s="60"/>
      <c r="E69" s="60"/>
      <c r="F69" s="60"/>
      <c r="G69" s="60"/>
      <c r="H69" s="60"/>
      <c r="I69" s="60"/>
      <c r="J69" s="60"/>
      <c r="K69" s="60"/>
      <c r="L69" s="60"/>
      <c r="M69" s="60"/>
    </row>
    <row r="70" spans="1:13" x14ac:dyDescent="0.2">
      <c r="A70" s="60"/>
      <c r="B70" s="60"/>
      <c r="C70" s="60"/>
      <c r="D70" s="60"/>
      <c r="E70" s="60"/>
      <c r="F70" s="60"/>
      <c r="G70" s="60"/>
      <c r="H70" s="60"/>
      <c r="I70" s="60"/>
      <c r="J70" s="60"/>
      <c r="K70" s="60"/>
      <c r="L70" s="60"/>
      <c r="M70" s="60"/>
    </row>
    <row r="71" spans="1:13" x14ac:dyDescent="0.2">
      <c r="A71" s="60"/>
      <c r="B71" s="60"/>
      <c r="C71" s="60"/>
      <c r="D71" s="60"/>
      <c r="E71" s="60"/>
      <c r="F71" s="60"/>
      <c r="G71" s="60"/>
      <c r="H71" s="60"/>
      <c r="I71" s="60"/>
      <c r="J71" s="60"/>
      <c r="K71" s="60"/>
      <c r="L71" s="60"/>
      <c r="M71" s="60"/>
    </row>
    <row r="72" spans="1:13" x14ac:dyDescent="0.2">
      <c r="A72" s="60"/>
      <c r="B72" s="60"/>
      <c r="C72" s="60"/>
      <c r="D72" s="60"/>
      <c r="E72" s="60"/>
      <c r="F72" s="60"/>
      <c r="G72" s="60"/>
      <c r="H72" s="60"/>
      <c r="I72" s="60"/>
      <c r="J72" s="60"/>
      <c r="K72" s="60"/>
      <c r="L72" s="60"/>
      <c r="M72" s="60"/>
    </row>
    <row r="73" spans="1:13" x14ac:dyDescent="0.2">
      <c r="A73" s="60"/>
      <c r="B73" s="60"/>
      <c r="C73" s="60"/>
      <c r="D73" s="60"/>
      <c r="E73" s="60"/>
      <c r="F73" s="60"/>
      <c r="G73" s="60"/>
      <c r="H73" s="60"/>
      <c r="I73" s="60"/>
      <c r="J73" s="60"/>
      <c r="K73" s="60"/>
      <c r="L73" s="60"/>
      <c r="M73" s="60"/>
    </row>
    <row r="74" spans="1:13" x14ac:dyDescent="0.2">
      <c r="A74" s="60"/>
      <c r="B74" s="60"/>
      <c r="C74" s="60"/>
      <c r="D74" s="60"/>
      <c r="E74" s="60"/>
      <c r="F74" s="60"/>
      <c r="G74" s="60"/>
      <c r="H74" s="60"/>
      <c r="I74" s="60"/>
      <c r="J74" s="60"/>
      <c r="K74" s="60"/>
      <c r="L74" s="60"/>
      <c r="M74" s="60"/>
    </row>
    <row r="75" spans="1:13" x14ac:dyDescent="0.2">
      <c r="A75" s="60"/>
      <c r="B75" s="60"/>
      <c r="C75" s="60"/>
      <c r="D75" s="60"/>
      <c r="E75" s="60"/>
      <c r="F75" s="60"/>
      <c r="G75" s="60"/>
      <c r="H75" s="60"/>
      <c r="I75" s="60"/>
      <c r="J75" s="60"/>
      <c r="K75" s="60"/>
      <c r="L75" s="60"/>
      <c r="M75" s="60"/>
    </row>
    <row r="76" spans="1:13" x14ac:dyDescent="0.2">
      <c r="A76" s="60"/>
      <c r="B76" s="60"/>
      <c r="C76" s="60"/>
      <c r="D76" s="60"/>
      <c r="E76" s="60"/>
      <c r="F76" s="60"/>
      <c r="G76" s="60"/>
      <c r="H76" s="60"/>
      <c r="I76" s="60"/>
      <c r="J76" s="60"/>
      <c r="K76" s="60"/>
      <c r="L76" s="60"/>
      <c r="M76" s="60"/>
    </row>
    <row r="77" spans="1:13" x14ac:dyDescent="0.2">
      <c r="A77" s="60"/>
      <c r="B77" s="60"/>
      <c r="C77" s="60"/>
      <c r="D77" s="60"/>
      <c r="E77" s="60"/>
      <c r="F77" s="60"/>
      <c r="G77" s="60"/>
      <c r="H77" s="60"/>
      <c r="I77" s="60"/>
      <c r="J77" s="60"/>
      <c r="K77" s="60"/>
      <c r="L77" s="60"/>
      <c r="M77" s="60"/>
    </row>
    <row r="78" spans="1:13" x14ac:dyDescent="0.2">
      <c r="A78" s="60"/>
      <c r="B78" s="60"/>
      <c r="C78" s="60"/>
      <c r="D78" s="60"/>
      <c r="E78" s="60"/>
      <c r="F78" s="60"/>
      <c r="G78" s="60"/>
      <c r="H78" s="60"/>
      <c r="I78" s="60"/>
      <c r="J78" s="60"/>
      <c r="K78" s="60"/>
      <c r="L78" s="60"/>
      <c r="M78" s="60"/>
    </row>
    <row r="79" spans="1:13" x14ac:dyDescent="0.2">
      <c r="A79" s="60"/>
      <c r="B79" s="60"/>
      <c r="C79" s="60"/>
      <c r="D79" s="60"/>
      <c r="E79" s="60"/>
      <c r="F79" s="60"/>
      <c r="G79" s="60"/>
      <c r="H79" s="60"/>
      <c r="I79" s="60"/>
      <c r="J79" s="60"/>
      <c r="K79" s="60"/>
      <c r="L79" s="60"/>
      <c r="M79" s="60"/>
    </row>
    <row r="80" spans="1:13" x14ac:dyDescent="0.2">
      <c r="A80" s="60"/>
      <c r="B80" s="60"/>
      <c r="C80" s="60"/>
      <c r="D80" s="60"/>
      <c r="E80" s="60"/>
      <c r="F80" s="60"/>
      <c r="G80" s="60"/>
      <c r="H80" s="60"/>
      <c r="I80" s="60"/>
      <c r="J80" s="60"/>
      <c r="K80" s="60"/>
      <c r="L80" s="60"/>
      <c r="M80" s="60"/>
    </row>
    <row r="81" spans="1:13" x14ac:dyDescent="0.2">
      <c r="A81" s="60"/>
      <c r="B81" s="60"/>
      <c r="C81" s="60"/>
      <c r="D81" s="60"/>
      <c r="E81" s="60"/>
      <c r="F81" s="60"/>
      <c r="G81" s="60"/>
      <c r="H81" s="60"/>
      <c r="I81" s="60"/>
      <c r="J81" s="60"/>
      <c r="K81" s="60"/>
      <c r="L81" s="60"/>
      <c r="M81" s="60"/>
    </row>
    <row r="82" spans="1:13" x14ac:dyDescent="0.2">
      <c r="A82" s="60"/>
      <c r="B82" s="60"/>
      <c r="C82" s="60"/>
      <c r="D82" s="60"/>
      <c r="E82" s="60"/>
      <c r="F82" s="60"/>
      <c r="G82" s="60"/>
      <c r="H82" s="60"/>
      <c r="I82" s="60"/>
      <c r="J82" s="60"/>
      <c r="K82" s="60"/>
      <c r="L82" s="60"/>
      <c r="M82" s="60"/>
    </row>
    <row r="83" spans="1:13" x14ac:dyDescent="0.2">
      <c r="A83" s="60"/>
      <c r="B83" s="60"/>
      <c r="C83" s="60"/>
      <c r="D83" s="60"/>
      <c r="E83" s="60"/>
      <c r="F83" s="60"/>
      <c r="G83" s="60"/>
      <c r="H83" s="60"/>
      <c r="I83" s="60"/>
      <c r="J83" s="60"/>
      <c r="K83" s="60"/>
      <c r="L83" s="60"/>
      <c r="M83" s="60"/>
    </row>
    <row r="84" spans="1:13" x14ac:dyDescent="0.2">
      <c r="A84" s="60"/>
      <c r="B84" s="60"/>
      <c r="C84" s="60"/>
      <c r="D84" s="60"/>
      <c r="E84" s="60"/>
      <c r="F84" s="60"/>
      <c r="G84" s="60"/>
      <c r="H84" s="60"/>
      <c r="I84" s="60"/>
      <c r="J84" s="60"/>
      <c r="K84" s="60"/>
      <c r="L84" s="60"/>
      <c r="M84" s="60"/>
    </row>
    <row r="85" spans="1:13" x14ac:dyDescent="0.2">
      <c r="A85" s="60"/>
      <c r="B85" s="60"/>
      <c r="C85" s="60"/>
      <c r="D85" s="60"/>
      <c r="E85" s="60"/>
      <c r="F85" s="60"/>
      <c r="G85" s="60"/>
      <c r="H85" s="60"/>
      <c r="I85" s="60"/>
      <c r="J85" s="60"/>
      <c r="K85" s="60"/>
      <c r="L85" s="60"/>
      <c r="M85" s="60"/>
    </row>
    <row r="86" spans="1:13" x14ac:dyDescent="0.2">
      <c r="A86" s="60"/>
      <c r="B86" s="60"/>
      <c r="C86" s="60"/>
      <c r="D86" s="60"/>
      <c r="E86" s="60"/>
      <c r="F86" s="60"/>
      <c r="G86" s="60"/>
      <c r="H86" s="60"/>
      <c r="I86" s="60"/>
      <c r="J86" s="60"/>
      <c r="K86" s="60"/>
      <c r="L86" s="60"/>
      <c r="M86" s="60"/>
    </row>
    <row r="87" spans="1:13" x14ac:dyDescent="0.2">
      <c r="A87" s="60"/>
      <c r="B87" s="60"/>
      <c r="C87" s="60"/>
      <c r="D87" s="60"/>
      <c r="E87" s="60"/>
      <c r="F87" s="60"/>
      <c r="G87" s="60"/>
      <c r="H87" s="60"/>
      <c r="I87" s="60"/>
      <c r="J87" s="60"/>
      <c r="K87" s="60"/>
      <c r="L87" s="60"/>
      <c r="M87" s="60"/>
    </row>
    <row r="88" spans="1:13" x14ac:dyDescent="0.2">
      <c r="A88" s="60"/>
      <c r="B88" s="60"/>
      <c r="C88" s="60"/>
      <c r="D88" s="60"/>
      <c r="E88" s="60"/>
      <c r="F88" s="60"/>
      <c r="G88" s="60"/>
      <c r="H88" s="60"/>
      <c r="I88" s="60"/>
      <c r="J88" s="60"/>
      <c r="K88" s="60"/>
      <c r="L88" s="60"/>
      <c r="M88" s="60"/>
    </row>
    <row r="89" spans="1:13" x14ac:dyDescent="0.2">
      <c r="A89" s="60"/>
      <c r="B89" s="60"/>
      <c r="C89" s="60"/>
      <c r="D89" s="60"/>
      <c r="E89" s="60"/>
      <c r="F89" s="60"/>
      <c r="G89" s="60"/>
      <c r="H89" s="60"/>
      <c r="I89" s="60"/>
      <c r="J89" s="60"/>
      <c r="K89" s="60"/>
      <c r="L89" s="60"/>
      <c r="M89" s="60"/>
    </row>
    <row r="90" spans="1:13" x14ac:dyDescent="0.2">
      <c r="A90" s="60"/>
      <c r="B90" s="60"/>
      <c r="C90" s="60"/>
      <c r="D90" s="60"/>
      <c r="E90" s="60"/>
      <c r="F90" s="60"/>
      <c r="G90" s="60"/>
      <c r="H90" s="60"/>
      <c r="I90" s="60"/>
      <c r="J90" s="60"/>
      <c r="K90" s="60"/>
      <c r="L90" s="60"/>
      <c r="M90" s="60"/>
    </row>
    <row r="91" spans="1:13" x14ac:dyDescent="0.2">
      <c r="A91" s="60"/>
      <c r="B91" s="60"/>
      <c r="C91" s="60"/>
      <c r="D91" s="60"/>
      <c r="E91" s="60"/>
      <c r="F91" s="60"/>
      <c r="G91" s="60"/>
      <c r="H91" s="60"/>
      <c r="I91" s="60"/>
      <c r="J91" s="60"/>
      <c r="K91" s="60"/>
      <c r="L91" s="60"/>
      <c r="M91" s="60"/>
    </row>
    <row r="92" spans="1:13" x14ac:dyDescent="0.2">
      <c r="A92" s="60"/>
      <c r="B92" s="60"/>
      <c r="C92" s="60"/>
      <c r="D92" s="60"/>
      <c r="E92" s="60"/>
      <c r="F92" s="60"/>
      <c r="G92" s="60"/>
      <c r="H92" s="60"/>
      <c r="I92" s="60"/>
      <c r="J92" s="60"/>
      <c r="K92" s="60"/>
      <c r="L92" s="60"/>
      <c r="M92" s="60"/>
    </row>
    <row r="93" spans="1:13" x14ac:dyDescent="0.2">
      <c r="A93" s="60"/>
      <c r="B93" s="60"/>
      <c r="C93" s="60"/>
      <c r="D93" s="60"/>
      <c r="E93" s="60"/>
      <c r="F93" s="60"/>
      <c r="G93" s="60"/>
      <c r="H93" s="60"/>
      <c r="I93" s="60"/>
      <c r="J93" s="60"/>
      <c r="K93" s="60"/>
      <c r="L93" s="60"/>
      <c r="M93" s="60"/>
    </row>
    <row r="94" spans="1:13" x14ac:dyDescent="0.2">
      <c r="A94" s="60"/>
      <c r="B94" s="60"/>
      <c r="C94" s="60"/>
      <c r="D94" s="60"/>
      <c r="E94" s="60"/>
      <c r="F94" s="60"/>
      <c r="G94" s="60"/>
      <c r="H94" s="60"/>
      <c r="I94" s="60"/>
      <c r="J94" s="60"/>
      <c r="K94" s="60"/>
      <c r="L94" s="60"/>
      <c r="M94" s="60"/>
    </row>
    <row r="95" spans="1:13" x14ac:dyDescent="0.2">
      <c r="A95" s="60"/>
      <c r="B95" s="60"/>
      <c r="C95" s="60"/>
      <c r="D95" s="60"/>
      <c r="E95" s="60"/>
      <c r="F95" s="60"/>
      <c r="G95" s="60"/>
      <c r="H95" s="60"/>
      <c r="I95" s="60"/>
      <c r="J95" s="60"/>
      <c r="K95" s="60"/>
      <c r="L95" s="60"/>
      <c r="M95" s="60"/>
    </row>
    <row r="96" spans="1:13" x14ac:dyDescent="0.2">
      <c r="A96" s="60"/>
      <c r="B96" s="60"/>
      <c r="C96" s="60"/>
      <c r="D96" s="60"/>
      <c r="E96" s="60"/>
      <c r="F96" s="60"/>
      <c r="G96" s="60"/>
      <c r="H96" s="60"/>
      <c r="I96" s="60"/>
      <c r="J96" s="60"/>
      <c r="K96" s="60"/>
      <c r="L96" s="60"/>
      <c r="M96" s="60"/>
    </row>
    <row r="97" spans="1:13" x14ac:dyDescent="0.2">
      <c r="A97" s="60"/>
      <c r="B97" s="60"/>
      <c r="C97" s="60"/>
      <c r="D97" s="60"/>
      <c r="E97" s="60"/>
      <c r="F97" s="60"/>
      <c r="G97" s="60"/>
      <c r="H97" s="60"/>
      <c r="I97" s="60"/>
      <c r="J97" s="60"/>
      <c r="K97" s="60"/>
      <c r="L97" s="60"/>
      <c r="M97" s="60"/>
    </row>
    <row r="98" spans="1:13" x14ac:dyDescent="0.2">
      <c r="A98" s="60"/>
      <c r="B98" s="60"/>
      <c r="C98" s="60"/>
      <c r="D98" s="60"/>
      <c r="E98" s="60"/>
      <c r="F98" s="60"/>
      <c r="G98" s="60"/>
      <c r="H98" s="60"/>
      <c r="I98" s="60"/>
      <c r="J98" s="60"/>
      <c r="K98" s="60"/>
      <c r="L98" s="60"/>
      <c r="M98" s="60"/>
    </row>
    <row r="99" spans="1:13" x14ac:dyDescent="0.2">
      <c r="A99" s="60"/>
      <c r="B99" s="60"/>
      <c r="C99" s="60"/>
      <c r="D99" s="60"/>
      <c r="E99" s="60"/>
      <c r="F99" s="60"/>
      <c r="G99" s="60"/>
      <c r="H99" s="60"/>
      <c r="I99" s="60"/>
      <c r="J99" s="60"/>
      <c r="K99" s="60"/>
      <c r="L99" s="60"/>
      <c r="M99" s="60"/>
    </row>
    <row r="100" spans="1:13" x14ac:dyDescent="0.2">
      <c r="A100" s="60"/>
      <c r="B100" s="60"/>
      <c r="C100" s="60"/>
      <c r="D100" s="60"/>
      <c r="E100" s="60"/>
      <c r="F100" s="60"/>
      <c r="G100" s="60"/>
      <c r="H100" s="60"/>
      <c r="I100" s="60"/>
      <c r="J100" s="60"/>
      <c r="K100" s="60"/>
      <c r="L100" s="60"/>
      <c r="M100" s="60"/>
    </row>
    <row r="101" spans="1:13" x14ac:dyDescent="0.2">
      <c r="A101" s="60"/>
      <c r="B101" s="60"/>
      <c r="C101" s="60"/>
      <c r="D101" s="60"/>
      <c r="E101" s="60"/>
      <c r="F101" s="60"/>
      <c r="G101" s="60"/>
      <c r="H101" s="60"/>
      <c r="I101" s="60"/>
      <c r="J101" s="60"/>
      <c r="K101" s="60"/>
      <c r="L101" s="60"/>
      <c r="M101" s="60"/>
    </row>
    <row r="102" spans="1:13" x14ac:dyDescent="0.2">
      <c r="A102" s="60"/>
      <c r="B102" s="60"/>
      <c r="C102" s="60"/>
      <c r="D102" s="60"/>
      <c r="E102" s="60"/>
      <c r="F102" s="60"/>
      <c r="G102" s="60"/>
      <c r="H102" s="60"/>
      <c r="I102" s="60"/>
      <c r="J102" s="60"/>
      <c r="K102" s="60"/>
      <c r="L102" s="60"/>
      <c r="M102" s="60"/>
    </row>
    <row r="103" spans="1:13" x14ac:dyDescent="0.2">
      <c r="A103" s="60"/>
      <c r="B103" s="60"/>
      <c r="C103" s="60"/>
      <c r="D103" s="60"/>
      <c r="E103" s="60"/>
      <c r="F103" s="60"/>
      <c r="G103" s="60"/>
      <c r="H103" s="60"/>
      <c r="I103" s="60"/>
      <c r="J103" s="60"/>
      <c r="K103" s="60"/>
      <c r="L103" s="60"/>
      <c r="M103" s="60"/>
    </row>
    <row r="104" spans="1:13" x14ac:dyDescent="0.2">
      <c r="A104" s="60"/>
      <c r="B104" s="60"/>
      <c r="C104" s="60"/>
      <c r="D104" s="60"/>
      <c r="E104" s="60"/>
      <c r="F104" s="60"/>
      <c r="G104" s="60"/>
      <c r="H104" s="60"/>
      <c r="I104" s="60"/>
      <c r="J104" s="60"/>
      <c r="K104" s="60"/>
      <c r="L104" s="60"/>
      <c r="M104" s="60"/>
    </row>
    <row r="105" spans="1:13" x14ac:dyDescent="0.2">
      <c r="A105" s="60"/>
      <c r="B105" s="60"/>
      <c r="C105" s="60"/>
      <c r="D105" s="60"/>
      <c r="E105" s="60"/>
      <c r="F105" s="60"/>
      <c r="G105" s="60"/>
      <c r="H105" s="60"/>
      <c r="I105" s="60"/>
      <c r="J105" s="60"/>
      <c r="K105" s="60"/>
      <c r="L105" s="60"/>
      <c r="M105" s="60"/>
    </row>
    <row r="106" spans="1:13" x14ac:dyDescent="0.2">
      <c r="A106" s="60"/>
      <c r="B106" s="60"/>
      <c r="C106" s="60"/>
      <c r="D106" s="60"/>
      <c r="E106" s="60"/>
      <c r="F106" s="60"/>
      <c r="G106" s="60"/>
      <c r="H106" s="60"/>
      <c r="I106" s="60"/>
      <c r="J106" s="60"/>
      <c r="K106" s="60"/>
      <c r="L106" s="60"/>
      <c r="M106" s="60"/>
    </row>
    <row r="107" spans="1:13" x14ac:dyDescent="0.2">
      <c r="A107" s="60"/>
      <c r="B107" s="60"/>
      <c r="C107" s="60"/>
      <c r="D107" s="60"/>
      <c r="E107" s="60"/>
      <c r="F107" s="60"/>
      <c r="G107" s="60"/>
      <c r="H107" s="60"/>
      <c r="I107" s="60"/>
      <c r="J107" s="60"/>
      <c r="K107" s="60"/>
      <c r="L107" s="60"/>
      <c r="M107" s="60"/>
    </row>
    <row r="108" spans="1:13" x14ac:dyDescent="0.2">
      <c r="A108" s="60"/>
      <c r="B108" s="60"/>
      <c r="C108" s="60"/>
      <c r="D108" s="60"/>
      <c r="E108" s="60"/>
      <c r="F108" s="60"/>
      <c r="G108" s="60"/>
      <c r="H108" s="60"/>
      <c r="I108" s="60"/>
      <c r="J108" s="60"/>
      <c r="K108" s="60"/>
      <c r="L108" s="60"/>
      <c r="M108" s="60"/>
    </row>
    <row r="109" spans="1:13" x14ac:dyDescent="0.2">
      <c r="A109" s="60"/>
      <c r="B109" s="60"/>
      <c r="C109" s="60"/>
      <c r="D109" s="60"/>
      <c r="E109" s="60"/>
      <c r="F109" s="60"/>
      <c r="G109" s="60"/>
      <c r="H109" s="60"/>
      <c r="I109" s="60"/>
      <c r="J109" s="60"/>
      <c r="K109" s="60"/>
      <c r="L109" s="60"/>
      <c r="M109" s="60"/>
    </row>
    <row r="110" spans="1:13" x14ac:dyDescent="0.2">
      <c r="A110" s="60"/>
      <c r="B110" s="60"/>
      <c r="C110" s="60"/>
      <c r="D110" s="60"/>
      <c r="E110" s="60"/>
      <c r="F110" s="60"/>
      <c r="G110" s="60"/>
      <c r="H110" s="60"/>
      <c r="I110" s="60"/>
      <c r="J110" s="60"/>
      <c r="K110" s="60"/>
      <c r="L110" s="60"/>
      <c r="M110" s="60"/>
    </row>
    <row r="111" spans="1:13" x14ac:dyDescent="0.2">
      <c r="A111" s="60"/>
      <c r="B111" s="60"/>
      <c r="C111" s="60"/>
      <c r="D111" s="60"/>
      <c r="E111" s="60"/>
      <c r="F111" s="60"/>
      <c r="G111" s="60"/>
      <c r="H111" s="60"/>
      <c r="I111" s="60"/>
      <c r="J111" s="60"/>
      <c r="K111" s="60"/>
      <c r="L111" s="60"/>
      <c r="M111" s="60"/>
    </row>
    <row r="112" spans="1:13" x14ac:dyDescent="0.2">
      <c r="A112" s="60"/>
      <c r="B112" s="60"/>
      <c r="C112" s="60"/>
      <c r="D112" s="60"/>
      <c r="E112" s="60"/>
      <c r="F112" s="60"/>
      <c r="G112" s="60"/>
      <c r="H112" s="60"/>
      <c r="I112" s="60"/>
      <c r="J112" s="60"/>
      <c r="K112" s="60"/>
      <c r="L112" s="60"/>
      <c r="M112" s="60"/>
    </row>
    <row r="113" spans="1:13" x14ac:dyDescent="0.2">
      <c r="A113" s="60"/>
      <c r="B113" s="60"/>
      <c r="C113" s="60"/>
      <c r="D113" s="60"/>
      <c r="E113" s="60"/>
      <c r="F113" s="60"/>
      <c r="G113" s="60"/>
      <c r="H113" s="60"/>
      <c r="I113" s="60"/>
      <c r="J113" s="60"/>
      <c r="K113" s="60"/>
      <c r="L113" s="60"/>
      <c r="M113" s="60"/>
    </row>
    <row r="114" spans="1:13" x14ac:dyDescent="0.2">
      <c r="A114" s="60"/>
      <c r="B114" s="60"/>
      <c r="C114" s="60"/>
      <c r="D114" s="60"/>
      <c r="E114" s="60"/>
      <c r="F114" s="60"/>
      <c r="G114" s="60"/>
      <c r="H114" s="60"/>
      <c r="I114" s="60"/>
      <c r="J114" s="60"/>
      <c r="K114" s="60"/>
      <c r="L114" s="60"/>
      <c r="M114" s="60"/>
    </row>
    <row r="115" spans="1:13" x14ac:dyDescent="0.2">
      <c r="A115" s="60"/>
      <c r="B115" s="60"/>
      <c r="C115" s="60"/>
      <c r="D115" s="60"/>
      <c r="E115" s="60"/>
      <c r="F115" s="60"/>
      <c r="G115" s="60"/>
      <c r="H115" s="60"/>
      <c r="I115" s="60"/>
      <c r="J115" s="60"/>
      <c r="K115" s="60"/>
      <c r="L115" s="60"/>
      <c r="M115" s="60"/>
    </row>
    <row r="116" spans="1:13" x14ac:dyDescent="0.2">
      <c r="A116" s="60"/>
      <c r="B116" s="60"/>
      <c r="C116" s="60"/>
      <c r="D116" s="60"/>
      <c r="E116" s="60"/>
      <c r="F116" s="60"/>
      <c r="G116" s="60"/>
      <c r="H116" s="60"/>
      <c r="I116" s="60"/>
      <c r="J116" s="60"/>
      <c r="K116" s="60"/>
      <c r="L116" s="60"/>
      <c r="M116" s="60"/>
    </row>
    <row r="117" spans="1:13" x14ac:dyDescent="0.2">
      <c r="A117" s="60"/>
      <c r="B117" s="60"/>
      <c r="C117" s="60"/>
      <c r="D117" s="60"/>
      <c r="E117" s="60"/>
      <c r="F117" s="60"/>
      <c r="G117" s="60"/>
      <c r="H117" s="60"/>
      <c r="I117" s="60"/>
      <c r="J117" s="60"/>
      <c r="K117" s="60"/>
      <c r="L117" s="60"/>
      <c r="M117" s="60"/>
    </row>
    <row r="118" spans="1:13" x14ac:dyDescent="0.2">
      <c r="A118" s="60"/>
      <c r="B118" s="60"/>
      <c r="C118" s="60"/>
      <c r="D118" s="60"/>
      <c r="E118" s="60"/>
      <c r="F118" s="60"/>
      <c r="G118" s="60"/>
      <c r="H118" s="60"/>
      <c r="I118" s="60"/>
      <c r="J118" s="60"/>
      <c r="K118" s="60"/>
      <c r="L118" s="60"/>
      <c r="M118" s="60"/>
    </row>
    <row r="119" spans="1:13" x14ac:dyDescent="0.2">
      <c r="A119" s="60"/>
      <c r="B119" s="60"/>
      <c r="C119" s="60"/>
      <c r="D119" s="60"/>
      <c r="E119" s="60"/>
      <c r="F119" s="60"/>
      <c r="G119" s="60"/>
      <c r="H119" s="60"/>
      <c r="I119" s="60"/>
      <c r="J119" s="60"/>
      <c r="K119" s="60"/>
      <c r="L119" s="60"/>
      <c r="M119" s="60"/>
    </row>
    <row r="120" spans="1:13" x14ac:dyDescent="0.2">
      <c r="A120" s="60"/>
      <c r="B120" s="60"/>
      <c r="C120" s="60"/>
      <c r="D120" s="60"/>
      <c r="E120" s="60"/>
      <c r="F120" s="60"/>
      <c r="G120" s="60"/>
      <c r="H120" s="60"/>
      <c r="I120" s="60"/>
      <c r="J120" s="60"/>
      <c r="K120" s="60"/>
      <c r="L120" s="60"/>
      <c r="M120" s="60"/>
    </row>
    <row r="121" spans="1:13" x14ac:dyDescent="0.2">
      <c r="A121" s="60"/>
      <c r="B121" s="60"/>
      <c r="C121" s="60"/>
      <c r="D121" s="60"/>
      <c r="E121" s="60"/>
      <c r="F121" s="60"/>
      <c r="G121" s="60"/>
      <c r="H121" s="60"/>
      <c r="I121" s="60"/>
      <c r="J121" s="60"/>
      <c r="K121" s="60"/>
      <c r="L121" s="60"/>
      <c r="M121" s="60"/>
    </row>
  </sheetData>
  <pageMargins left="0.5" right="0.5" top="0.75" bottom="0.7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2:P102"/>
  <sheetViews>
    <sheetView zoomScaleNormal="100" workbookViewId="0">
      <pane xSplit="2" ySplit="6" topLeftCell="C70" activePane="bottomRight" state="frozen"/>
      <selection activeCell="F41" sqref="F41"/>
      <selection pane="topRight" activeCell="F41" sqref="F41"/>
      <selection pane="bottomLeft" activeCell="F41" sqref="F41"/>
      <selection pane="bottomRight" activeCell="F41" sqref="F41"/>
    </sheetView>
  </sheetViews>
  <sheetFormatPr defaultRowHeight="11.25" x14ac:dyDescent="0.2"/>
  <cols>
    <col min="1" max="1" width="6" style="60" customWidth="1"/>
    <col min="2" max="2" width="17.85546875" style="60" customWidth="1"/>
    <col min="3" max="4" width="9.85546875" style="60" customWidth="1"/>
    <col min="5" max="5" width="11.28515625" style="60" customWidth="1"/>
    <col min="6" max="7" width="9.5703125" style="60" customWidth="1"/>
    <col min="8" max="8" width="9.85546875" style="60" customWidth="1"/>
    <col min="9" max="9" width="10.42578125" style="60" customWidth="1"/>
    <col min="10" max="10" width="10.7109375" style="60" customWidth="1"/>
    <col min="11" max="14" width="9.140625" style="60"/>
    <col min="15" max="15" width="10.7109375" style="60" bestFit="1" customWidth="1"/>
    <col min="16" max="256" width="9.140625" style="60"/>
    <col min="257" max="257" width="6" style="60" customWidth="1"/>
    <col min="258" max="258" width="17.85546875" style="60" customWidth="1"/>
    <col min="259" max="260" width="9.85546875" style="60" customWidth="1"/>
    <col min="261" max="261" width="11.28515625" style="60" customWidth="1"/>
    <col min="262" max="263" width="9.5703125" style="60" customWidth="1"/>
    <col min="264" max="264" width="9.85546875" style="60" customWidth="1"/>
    <col min="265" max="265" width="10.42578125" style="60" customWidth="1"/>
    <col min="266" max="266" width="10.7109375" style="60" customWidth="1"/>
    <col min="267" max="270" width="9.140625" style="60"/>
    <col min="271" max="271" width="10.7109375" style="60" bestFit="1" customWidth="1"/>
    <col min="272" max="512" width="9.140625" style="60"/>
    <col min="513" max="513" width="6" style="60" customWidth="1"/>
    <col min="514" max="514" width="17.85546875" style="60" customWidth="1"/>
    <col min="515" max="516" width="9.85546875" style="60" customWidth="1"/>
    <col min="517" max="517" width="11.28515625" style="60" customWidth="1"/>
    <col min="518" max="519" width="9.5703125" style="60" customWidth="1"/>
    <col min="520" max="520" width="9.85546875" style="60" customWidth="1"/>
    <col min="521" max="521" width="10.42578125" style="60" customWidth="1"/>
    <col min="522" max="522" width="10.7109375" style="60" customWidth="1"/>
    <col min="523" max="526" width="9.140625" style="60"/>
    <col min="527" max="527" width="10.7109375" style="60" bestFit="1" customWidth="1"/>
    <col min="528" max="768" width="9.140625" style="60"/>
    <col min="769" max="769" width="6" style="60" customWidth="1"/>
    <col min="770" max="770" width="17.85546875" style="60" customWidth="1"/>
    <col min="771" max="772" width="9.85546875" style="60" customWidth="1"/>
    <col min="773" max="773" width="11.28515625" style="60" customWidth="1"/>
    <col min="774" max="775" width="9.5703125" style="60" customWidth="1"/>
    <col min="776" max="776" width="9.85546875" style="60" customWidth="1"/>
    <col min="777" max="777" width="10.42578125" style="60" customWidth="1"/>
    <col min="778" max="778" width="10.7109375" style="60" customWidth="1"/>
    <col min="779" max="782" width="9.140625" style="60"/>
    <col min="783" max="783" width="10.7109375" style="60" bestFit="1" customWidth="1"/>
    <col min="784" max="1024" width="9.140625" style="60"/>
    <col min="1025" max="1025" width="6" style="60" customWidth="1"/>
    <col min="1026" max="1026" width="17.85546875" style="60" customWidth="1"/>
    <col min="1027" max="1028" width="9.85546875" style="60" customWidth="1"/>
    <col min="1029" max="1029" width="11.28515625" style="60" customWidth="1"/>
    <col min="1030" max="1031" width="9.5703125" style="60" customWidth="1"/>
    <col min="1032" max="1032" width="9.85546875" style="60" customWidth="1"/>
    <col min="1033" max="1033" width="10.42578125" style="60" customWidth="1"/>
    <col min="1034" max="1034" width="10.7109375" style="60" customWidth="1"/>
    <col min="1035" max="1038" width="9.140625" style="60"/>
    <col min="1039" max="1039" width="10.7109375" style="60" bestFit="1" customWidth="1"/>
    <col min="1040" max="1280" width="9.140625" style="60"/>
    <col min="1281" max="1281" width="6" style="60" customWidth="1"/>
    <col min="1282" max="1282" width="17.85546875" style="60" customWidth="1"/>
    <col min="1283" max="1284" width="9.85546875" style="60" customWidth="1"/>
    <col min="1285" max="1285" width="11.28515625" style="60" customWidth="1"/>
    <col min="1286" max="1287" width="9.5703125" style="60" customWidth="1"/>
    <col min="1288" max="1288" width="9.85546875" style="60" customWidth="1"/>
    <col min="1289" max="1289" width="10.42578125" style="60" customWidth="1"/>
    <col min="1290" max="1290" width="10.7109375" style="60" customWidth="1"/>
    <col min="1291" max="1294" width="9.140625" style="60"/>
    <col min="1295" max="1295" width="10.7109375" style="60" bestFit="1" customWidth="1"/>
    <col min="1296" max="1536" width="9.140625" style="60"/>
    <col min="1537" max="1537" width="6" style="60" customWidth="1"/>
    <col min="1538" max="1538" width="17.85546875" style="60" customWidth="1"/>
    <col min="1539" max="1540" width="9.85546875" style="60" customWidth="1"/>
    <col min="1541" max="1541" width="11.28515625" style="60" customWidth="1"/>
    <col min="1542" max="1543" width="9.5703125" style="60" customWidth="1"/>
    <col min="1544" max="1544" width="9.85546875" style="60" customWidth="1"/>
    <col min="1545" max="1545" width="10.42578125" style="60" customWidth="1"/>
    <col min="1546" max="1546" width="10.7109375" style="60" customWidth="1"/>
    <col min="1547" max="1550" width="9.140625" style="60"/>
    <col min="1551" max="1551" width="10.7109375" style="60" bestFit="1" customWidth="1"/>
    <col min="1552" max="1792" width="9.140625" style="60"/>
    <col min="1793" max="1793" width="6" style="60" customWidth="1"/>
    <col min="1794" max="1794" width="17.85546875" style="60" customWidth="1"/>
    <col min="1795" max="1796" width="9.85546875" style="60" customWidth="1"/>
    <col min="1797" max="1797" width="11.28515625" style="60" customWidth="1"/>
    <col min="1798" max="1799" width="9.5703125" style="60" customWidth="1"/>
    <col min="1800" max="1800" width="9.85546875" style="60" customWidth="1"/>
    <col min="1801" max="1801" width="10.42578125" style="60" customWidth="1"/>
    <col min="1802" max="1802" width="10.7109375" style="60" customWidth="1"/>
    <col min="1803" max="1806" width="9.140625" style="60"/>
    <col min="1807" max="1807" width="10.7109375" style="60" bestFit="1" customWidth="1"/>
    <col min="1808" max="2048" width="9.140625" style="60"/>
    <col min="2049" max="2049" width="6" style="60" customWidth="1"/>
    <col min="2050" max="2050" width="17.85546875" style="60" customWidth="1"/>
    <col min="2051" max="2052" width="9.85546875" style="60" customWidth="1"/>
    <col min="2053" max="2053" width="11.28515625" style="60" customWidth="1"/>
    <col min="2054" max="2055" width="9.5703125" style="60" customWidth="1"/>
    <col min="2056" max="2056" width="9.85546875" style="60" customWidth="1"/>
    <col min="2057" max="2057" width="10.42578125" style="60" customWidth="1"/>
    <col min="2058" max="2058" width="10.7109375" style="60" customWidth="1"/>
    <col min="2059" max="2062" width="9.140625" style="60"/>
    <col min="2063" max="2063" width="10.7109375" style="60" bestFit="1" customWidth="1"/>
    <col min="2064" max="2304" width="9.140625" style="60"/>
    <col min="2305" max="2305" width="6" style="60" customWidth="1"/>
    <col min="2306" max="2306" width="17.85546875" style="60" customWidth="1"/>
    <col min="2307" max="2308" width="9.85546875" style="60" customWidth="1"/>
    <col min="2309" max="2309" width="11.28515625" style="60" customWidth="1"/>
    <col min="2310" max="2311" width="9.5703125" style="60" customWidth="1"/>
    <col min="2312" max="2312" width="9.85546875" style="60" customWidth="1"/>
    <col min="2313" max="2313" width="10.42578125" style="60" customWidth="1"/>
    <col min="2314" max="2314" width="10.7109375" style="60" customWidth="1"/>
    <col min="2315" max="2318" width="9.140625" style="60"/>
    <col min="2319" max="2319" width="10.7109375" style="60" bestFit="1" customWidth="1"/>
    <col min="2320" max="2560" width="9.140625" style="60"/>
    <col min="2561" max="2561" width="6" style="60" customWidth="1"/>
    <col min="2562" max="2562" width="17.85546875" style="60" customWidth="1"/>
    <col min="2563" max="2564" width="9.85546875" style="60" customWidth="1"/>
    <col min="2565" max="2565" width="11.28515625" style="60" customWidth="1"/>
    <col min="2566" max="2567" width="9.5703125" style="60" customWidth="1"/>
    <col min="2568" max="2568" width="9.85546875" style="60" customWidth="1"/>
    <col min="2569" max="2569" width="10.42578125" style="60" customWidth="1"/>
    <col min="2570" max="2570" width="10.7109375" style="60" customWidth="1"/>
    <col min="2571" max="2574" width="9.140625" style="60"/>
    <col min="2575" max="2575" width="10.7109375" style="60" bestFit="1" customWidth="1"/>
    <col min="2576" max="2816" width="9.140625" style="60"/>
    <col min="2817" max="2817" width="6" style="60" customWidth="1"/>
    <col min="2818" max="2818" width="17.85546875" style="60" customWidth="1"/>
    <col min="2819" max="2820" width="9.85546875" style="60" customWidth="1"/>
    <col min="2821" max="2821" width="11.28515625" style="60" customWidth="1"/>
    <col min="2822" max="2823" width="9.5703125" style="60" customWidth="1"/>
    <col min="2824" max="2824" width="9.85546875" style="60" customWidth="1"/>
    <col min="2825" max="2825" width="10.42578125" style="60" customWidth="1"/>
    <col min="2826" max="2826" width="10.7109375" style="60" customWidth="1"/>
    <col min="2827" max="2830" width="9.140625" style="60"/>
    <col min="2831" max="2831" width="10.7109375" style="60" bestFit="1" customWidth="1"/>
    <col min="2832" max="3072" width="9.140625" style="60"/>
    <col min="3073" max="3073" width="6" style="60" customWidth="1"/>
    <col min="3074" max="3074" width="17.85546875" style="60" customWidth="1"/>
    <col min="3075" max="3076" width="9.85546875" style="60" customWidth="1"/>
    <col min="3077" max="3077" width="11.28515625" style="60" customWidth="1"/>
    <col min="3078" max="3079" width="9.5703125" style="60" customWidth="1"/>
    <col min="3080" max="3080" width="9.85546875" style="60" customWidth="1"/>
    <col min="3081" max="3081" width="10.42578125" style="60" customWidth="1"/>
    <col min="3082" max="3082" width="10.7109375" style="60" customWidth="1"/>
    <col min="3083" max="3086" width="9.140625" style="60"/>
    <col min="3087" max="3087" width="10.7109375" style="60" bestFit="1" customWidth="1"/>
    <col min="3088" max="3328" width="9.140625" style="60"/>
    <col min="3329" max="3329" width="6" style="60" customWidth="1"/>
    <col min="3330" max="3330" width="17.85546875" style="60" customWidth="1"/>
    <col min="3331" max="3332" width="9.85546875" style="60" customWidth="1"/>
    <col min="3333" max="3333" width="11.28515625" style="60" customWidth="1"/>
    <col min="3334" max="3335" width="9.5703125" style="60" customWidth="1"/>
    <col min="3336" max="3336" width="9.85546875" style="60" customWidth="1"/>
    <col min="3337" max="3337" width="10.42578125" style="60" customWidth="1"/>
    <col min="3338" max="3338" width="10.7109375" style="60" customWidth="1"/>
    <col min="3339" max="3342" width="9.140625" style="60"/>
    <col min="3343" max="3343" width="10.7109375" style="60" bestFit="1" customWidth="1"/>
    <col min="3344" max="3584" width="9.140625" style="60"/>
    <col min="3585" max="3585" width="6" style="60" customWidth="1"/>
    <col min="3586" max="3586" width="17.85546875" style="60" customWidth="1"/>
    <col min="3587" max="3588" width="9.85546875" style="60" customWidth="1"/>
    <col min="3589" max="3589" width="11.28515625" style="60" customWidth="1"/>
    <col min="3590" max="3591" width="9.5703125" style="60" customWidth="1"/>
    <col min="3592" max="3592" width="9.85546875" style="60" customWidth="1"/>
    <col min="3593" max="3593" width="10.42578125" style="60" customWidth="1"/>
    <col min="3594" max="3594" width="10.7109375" style="60" customWidth="1"/>
    <col min="3595" max="3598" width="9.140625" style="60"/>
    <col min="3599" max="3599" width="10.7109375" style="60" bestFit="1" customWidth="1"/>
    <col min="3600" max="3840" width="9.140625" style="60"/>
    <col min="3841" max="3841" width="6" style="60" customWidth="1"/>
    <col min="3842" max="3842" width="17.85546875" style="60" customWidth="1"/>
    <col min="3843" max="3844" width="9.85546875" style="60" customWidth="1"/>
    <col min="3845" max="3845" width="11.28515625" style="60" customWidth="1"/>
    <col min="3846" max="3847" width="9.5703125" style="60" customWidth="1"/>
    <col min="3848" max="3848" width="9.85546875" style="60" customWidth="1"/>
    <col min="3849" max="3849" width="10.42578125" style="60" customWidth="1"/>
    <col min="3850" max="3850" width="10.7109375" style="60" customWidth="1"/>
    <col min="3851" max="3854" width="9.140625" style="60"/>
    <col min="3855" max="3855" width="10.7109375" style="60" bestFit="1" customWidth="1"/>
    <col min="3856" max="4096" width="9.140625" style="60"/>
    <col min="4097" max="4097" width="6" style="60" customWidth="1"/>
    <col min="4098" max="4098" width="17.85546875" style="60" customWidth="1"/>
    <col min="4099" max="4100" width="9.85546875" style="60" customWidth="1"/>
    <col min="4101" max="4101" width="11.28515625" style="60" customWidth="1"/>
    <col min="4102" max="4103" width="9.5703125" style="60" customWidth="1"/>
    <col min="4104" max="4104" width="9.85546875" style="60" customWidth="1"/>
    <col min="4105" max="4105" width="10.42578125" style="60" customWidth="1"/>
    <col min="4106" max="4106" width="10.7109375" style="60" customWidth="1"/>
    <col min="4107" max="4110" width="9.140625" style="60"/>
    <col min="4111" max="4111" width="10.7109375" style="60" bestFit="1" customWidth="1"/>
    <col min="4112" max="4352" width="9.140625" style="60"/>
    <col min="4353" max="4353" width="6" style="60" customWidth="1"/>
    <col min="4354" max="4354" width="17.85546875" style="60" customWidth="1"/>
    <col min="4355" max="4356" width="9.85546875" style="60" customWidth="1"/>
    <col min="4357" max="4357" width="11.28515625" style="60" customWidth="1"/>
    <col min="4358" max="4359" width="9.5703125" style="60" customWidth="1"/>
    <col min="4360" max="4360" width="9.85546875" style="60" customWidth="1"/>
    <col min="4361" max="4361" width="10.42578125" style="60" customWidth="1"/>
    <col min="4362" max="4362" width="10.7109375" style="60" customWidth="1"/>
    <col min="4363" max="4366" width="9.140625" style="60"/>
    <col min="4367" max="4367" width="10.7109375" style="60" bestFit="1" customWidth="1"/>
    <col min="4368" max="4608" width="9.140625" style="60"/>
    <col min="4609" max="4609" width="6" style="60" customWidth="1"/>
    <col min="4610" max="4610" width="17.85546875" style="60" customWidth="1"/>
    <col min="4611" max="4612" width="9.85546875" style="60" customWidth="1"/>
    <col min="4613" max="4613" width="11.28515625" style="60" customWidth="1"/>
    <col min="4614" max="4615" width="9.5703125" style="60" customWidth="1"/>
    <col min="4616" max="4616" width="9.85546875" style="60" customWidth="1"/>
    <col min="4617" max="4617" width="10.42578125" style="60" customWidth="1"/>
    <col min="4618" max="4618" width="10.7109375" style="60" customWidth="1"/>
    <col min="4619" max="4622" width="9.140625" style="60"/>
    <col min="4623" max="4623" width="10.7109375" style="60" bestFit="1" customWidth="1"/>
    <col min="4624" max="4864" width="9.140625" style="60"/>
    <col min="4865" max="4865" width="6" style="60" customWidth="1"/>
    <col min="4866" max="4866" width="17.85546875" style="60" customWidth="1"/>
    <col min="4867" max="4868" width="9.85546875" style="60" customWidth="1"/>
    <col min="4869" max="4869" width="11.28515625" style="60" customWidth="1"/>
    <col min="4870" max="4871" width="9.5703125" style="60" customWidth="1"/>
    <col min="4872" max="4872" width="9.85546875" style="60" customWidth="1"/>
    <col min="4873" max="4873" width="10.42578125" style="60" customWidth="1"/>
    <col min="4874" max="4874" width="10.7109375" style="60" customWidth="1"/>
    <col min="4875" max="4878" width="9.140625" style="60"/>
    <col min="4879" max="4879" width="10.7109375" style="60" bestFit="1" customWidth="1"/>
    <col min="4880" max="5120" width="9.140625" style="60"/>
    <col min="5121" max="5121" width="6" style="60" customWidth="1"/>
    <col min="5122" max="5122" width="17.85546875" style="60" customWidth="1"/>
    <col min="5123" max="5124" width="9.85546875" style="60" customWidth="1"/>
    <col min="5125" max="5125" width="11.28515625" style="60" customWidth="1"/>
    <col min="5126" max="5127" width="9.5703125" style="60" customWidth="1"/>
    <col min="5128" max="5128" width="9.85546875" style="60" customWidth="1"/>
    <col min="5129" max="5129" width="10.42578125" style="60" customWidth="1"/>
    <col min="5130" max="5130" width="10.7109375" style="60" customWidth="1"/>
    <col min="5131" max="5134" width="9.140625" style="60"/>
    <col min="5135" max="5135" width="10.7109375" style="60" bestFit="1" customWidth="1"/>
    <col min="5136" max="5376" width="9.140625" style="60"/>
    <col min="5377" max="5377" width="6" style="60" customWidth="1"/>
    <col min="5378" max="5378" width="17.85546875" style="60" customWidth="1"/>
    <col min="5379" max="5380" width="9.85546875" style="60" customWidth="1"/>
    <col min="5381" max="5381" width="11.28515625" style="60" customWidth="1"/>
    <col min="5382" max="5383" width="9.5703125" style="60" customWidth="1"/>
    <col min="5384" max="5384" width="9.85546875" style="60" customWidth="1"/>
    <col min="5385" max="5385" width="10.42578125" style="60" customWidth="1"/>
    <col min="5386" max="5386" width="10.7109375" style="60" customWidth="1"/>
    <col min="5387" max="5390" width="9.140625" style="60"/>
    <col min="5391" max="5391" width="10.7109375" style="60" bestFit="1" customWidth="1"/>
    <col min="5392" max="5632" width="9.140625" style="60"/>
    <col min="5633" max="5633" width="6" style="60" customWidth="1"/>
    <col min="5634" max="5634" width="17.85546875" style="60" customWidth="1"/>
    <col min="5635" max="5636" width="9.85546875" style="60" customWidth="1"/>
    <col min="5637" max="5637" width="11.28515625" style="60" customWidth="1"/>
    <col min="5638" max="5639" width="9.5703125" style="60" customWidth="1"/>
    <col min="5640" max="5640" width="9.85546875" style="60" customWidth="1"/>
    <col min="5641" max="5641" width="10.42578125" style="60" customWidth="1"/>
    <col min="5642" max="5642" width="10.7109375" style="60" customWidth="1"/>
    <col min="5643" max="5646" width="9.140625" style="60"/>
    <col min="5647" max="5647" width="10.7109375" style="60" bestFit="1" customWidth="1"/>
    <col min="5648" max="5888" width="9.140625" style="60"/>
    <col min="5889" max="5889" width="6" style="60" customWidth="1"/>
    <col min="5890" max="5890" width="17.85546875" style="60" customWidth="1"/>
    <col min="5891" max="5892" width="9.85546875" style="60" customWidth="1"/>
    <col min="5893" max="5893" width="11.28515625" style="60" customWidth="1"/>
    <col min="5894" max="5895" width="9.5703125" style="60" customWidth="1"/>
    <col min="5896" max="5896" width="9.85546875" style="60" customWidth="1"/>
    <col min="5897" max="5897" width="10.42578125" style="60" customWidth="1"/>
    <col min="5898" max="5898" width="10.7109375" style="60" customWidth="1"/>
    <col min="5899" max="5902" width="9.140625" style="60"/>
    <col min="5903" max="5903" width="10.7109375" style="60" bestFit="1" customWidth="1"/>
    <col min="5904" max="6144" width="9.140625" style="60"/>
    <col min="6145" max="6145" width="6" style="60" customWidth="1"/>
    <col min="6146" max="6146" width="17.85546875" style="60" customWidth="1"/>
    <col min="6147" max="6148" width="9.85546875" style="60" customWidth="1"/>
    <col min="6149" max="6149" width="11.28515625" style="60" customWidth="1"/>
    <col min="6150" max="6151" width="9.5703125" style="60" customWidth="1"/>
    <col min="6152" max="6152" width="9.85546875" style="60" customWidth="1"/>
    <col min="6153" max="6153" width="10.42578125" style="60" customWidth="1"/>
    <col min="6154" max="6154" width="10.7109375" style="60" customWidth="1"/>
    <col min="6155" max="6158" width="9.140625" style="60"/>
    <col min="6159" max="6159" width="10.7109375" style="60" bestFit="1" customWidth="1"/>
    <col min="6160" max="6400" width="9.140625" style="60"/>
    <col min="6401" max="6401" width="6" style="60" customWidth="1"/>
    <col min="6402" max="6402" width="17.85546875" style="60" customWidth="1"/>
    <col min="6403" max="6404" width="9.85546875" style="60" customWidth="1"/>
    <col min="6405" max="6405" width="11.28515625" style="60" customWidth="1"/>
    <col min="6406" max="6407" width="9.5703125" style="60" customWidth="1"/>
    <col min="6408" max="6408" width="9.85546875" style="60" customWidth="1"/>
    <col min="6409" max="6409" width="10.42578125" style="60" customWidth="1"/>
    <col min="6410" max="6410" width="10.7109375" style="60" customWidth="1"/>
    <col min="6411" max="6414" width="9.140625" style="60"/>
    <col min="6415" max="6415" width="10.7109375" style="60" bestFit="1" customWidth="1"/>
    <col min="6416" max="6656" width="9.140625" style="60"/>
    <col min="6657" max="6657" width="6" style="60" customWidth="1"/>
    <col min="6658" max="6658" width="17.85546875" style="60" customWidth="1"/>
    <col min="6659" max="6660" width="9.85546875" style="60" customWidth="1"/>
    <col min="6661" max="6661" width="11.28515625" style="60" customWidth="1"/>
    <col min="6662" max="6663" width="9.5703125" style="60" customWidth="1"/>
    <col min="6664" max="6664" width="9.85546875" style="60" customWidth="1"/>
    <col min="6665" max="6665" width="10.42578125" style="60" customWidth="1"/>
    <col min="6666" max="6666" width="10.7109375" style="60" customWidth="1"/>
    <col min="6667" max="6670" width="9.140625" style="60"/>
    <col min="6671" max="6671" width="10.7109375" style="60" bestFit="1" customWidth="1"/>
    <col min="6672" max="6912" width="9.140625" style="60"/>
    <col min="6913" max="6913" width="6" style="60" customWidth="1"/>
    <col min="6914" max="6914" width="17.85546875" style="60" customWidth="1"/>
    <col min="6915" max="6916" width="9.85546875" style="60" customWidth="1"/>
    <col min="6917" max="6917" width="11.28515625" style="60" customWidth="1"/>
    <col min="6918" max="6919" width="9.5703125" style="60" customWidth="1"/>
    <col min="6920" max="6920" width="9.85546875" style="60" customWidth="1"/>
    <col min="6921" max="6921" width="10.42578125" style="60" customWidth="1"/>
    <col min="6922" max="6922" width="10.7109375" style="60" customWidth="1"/>
    <col min="6923" max="6926" width="9.140625" style="60"/>
    <col min="6927" max="6927" width="10.7109375" style="60" bestFit="1" customWidth="1"/>
    <col min="6928" max="7168" width="9.140625" style="60"/>
    <col min="7169" max="7169" width="6" style="60" customWidth="1"/>
    <col min="7170" max="7170" width="17.85546875" style="60" customWidth="1"/>
    <col min="7171" max="7172" width="9.85546875" style="60" customWidth="1"/>
    <col min="7173" max="7173" width="11.28515625" style="60" customWidth="1"/>
    <col min="7174" max="7175" width="9.5703125" style="60" customWidth="1"/>
    <col min="7176" max="7176" width="9.85546875" style="60" customWidth="1"/>
    <col min="7177" max="7177" width="10.42578125" style="60" customWidth="1"/>
    <col min="7178" max="7178" width="10.7109375" style="60" customWidth="1"/>
    <col min="7179" max="7182" width="9.140625" style="60"/>
    <col min="7183" max="7183" width="10.7109375" style="60" bestFit="1" customWidth="1"/>
    <col min="7184" max="7424" width="9.140625" style="60"/>
    <col min="7425" max="7425" width="6" style="60" customWidth="1"/>
    <col min="7426" max="7426" width="17.85546875" style="60" customWidth="1"/>
    <col min="7427" max="7428" width="9.85546875" style="60" customWidth="1"/>
    <col min="7429" max="7429" width="11.28515625" style="60" customWidth="1"/>
    <col min="7430" max="7431" width="9.5703125" style="60" customWidth="1"/>
    <col min="7432" max="7432" width="9.85546875" style="60" customWidth="1"/>
    <col min="7433" max="7433" width="10.42578125" style="60" customWidth="1"/>
    <col min="7434" max="7434" width="10.7109375" style="60" customWidth="1"/>
    <col min="7435" max="7438" width="9.140625" style="60"/>
    <col min="7439" max="7439" width="10.7109375" style="60" bestFit="1" customWidth="1"/>
    <col min="7440" max="7680" width="9.140625" style="60"/>
    <col min="7681" max="7681" width="6" style="60" customWidth="1"/>
    <col min="7682" max="7682" width="17.85546875" style="60" customWidth="1"/>
    <col min="7683" max="7684" width="9.85546875" style="60" customWidth="1"/>
    <col min="7685" max="7685" width="11.28515625" style="60" customWidth="1"/>
    <col min="7686" max="7687" width="9.5703125" style="60" customWidth="1"/>
    <col min="7688" max="7688" width="9.85546875" style="60" customWidth="1"/>
    <col min="7689" max="7689" width="10.42578125" style="60" customWidth="1"/>
    <col min="7690" max="7690" width="10.7109375" style="60" customWidth="1"/>
    <col min="7691" max="7694" width="9.140625" style="60"/>
    <col min="7695" max="7695" width="10.7109375" style="60" bestFit="1" customWidth="1"/>
    <col min="7696" max="7936" width="9.140625" style="60"/>
    <col min="7937" max="7937" width="6" style="60" customWidth="1"/>
    <col min="7938" max="7938" width="17.85546875" style="60" customWidth="1"/>
    <col min="7939" max="7940" width="9.85546875" style="60" customWidth="1"/>
    <col min="7941" max="7941" width="11.28515625" style="60" customWidth="1"/>
    <col min="7942" max="7943" width="9.5703125" style="60" customWidth="1"/>
    <col min="7944" max="7944" width="9.85546875" style="60" customWidth="1"/>
    <col min="7945" max="7945" width="10.42578125" style="60" customWidth="1"/>
    <col min="7946" max="7946" width="10.7109375" style="60" customWidth="1"/>
    <col min="7947" max="7950" width="9.140625" style="60"/>
    <col min="7951" max="7951" width="10.7109375" style="60" bestFit="1" customWidth="1"/>
    <col min="7952" max="8192" width="9.140625" style="60"/>
    <col min="8193" max="8193" width="6" style="60" customWidth="1"/>
    <col min="8194" max="8194" width="17.85546875" style="60" customWidth="1"/>
    <col min="8195" max="8196" width="9.85546875" style="60" customWidth="1"/>
    <col min="8197" max="8197" width="11.28515625" style="60" customWidth="1"/>
    <col min="8198" max="8199" width="9.5703125" style="60" customWidth="1"/>
    <col min="8200" max="8200" width="9.85546875" style="60" customWidth="1"/>
    <col min="8201" max="8201" width="10.42578125" style="60" customWidth="1"/>
    <col min="8202" max="8202" width="10.7109375" style="60" customWidth="1"/>
    <col min="8203" max="8206" width="9.140625" style="60"/>
    <col min="8207" max="8207" width="10.7109375" style="60" bestFit="1" customWidth="1"/>
    <col min="8208" max="8448" width="9.140625" style="60"/>
    <col min="8449" max="8449" width="6" style="60" customWidth="1"/>
    <col min="8450" max="8450" width="17.85546875" style="60" customWidth="1"/>
    <col min="8451" max="8452" width="9.85546875" style="60" customWidth="1"/>
    <col min="8453" max="8453" width="11.28515625" style="60" customWidth="1"/>
    <col min="8454" max="8455" width="9.5703125" style="60" customWidth="1"/>
    <col min="8456" max="8456" width="9.85546875" style="60" customWidth="1"/>
    <col min="8457" max="8457" width="10.42578125" style="60" customWidth="1"/>
    <col min="8458" max="8458" width="10.7109375" style="60" customWidth="1"/>
    <col min="8459" max="8462" width="9.140625" style="60"/>
    <col min="8463" max="8463" width="10.7109375" style="60" bestFit="1" customWidth="1"/>
    <col min="8464" max="8704" width="9.140625" style="60"/>
    <col min="8705" max="8705" width="6" style="60" customWidth="1"/>
    <col min="8706" max="8706" width="17.85546875" style="60" customWidth="1"/>
    <col min="8707" max="8708" width="9.85546875" style="60" customWidth="1"/>
    <col min="8709" max="8709" width="11.28515625" style="60" customWidth="1"/>
    <col min="8710" max="8711" width="9.5703125" style="60" customWidth="1"/>
    <col min="8712" max="8712" width="9.85546875" style="60" customWidth="1"/>
    <col min="8713" max="8713" width="10.42578125" style="60" customWidth="1"/>
    <col min="8714" max="8714" width="10.7109375" style="60" customWidth="1"/>
    <col min="8715" max="8718" width="9.140625" style="60"/>
    <col min="8719" max="8719" width="10.7109375" style="60" bestFit="1" customWidth="1"/>
    <col min="8720" max="8960" width="9.140625" style="60"/>
    <col min="8961" max="8961" width="6" style="60" customWidth="1"/>
    <col min="8962" max="8962" width="17.85546875" style="60" customWidth="1"/>
    <col min="8963" max="8964" width="9.85546875" style="60" customWidth="1"/>
    <col min="8965" max="8965" width="11.28515625" style="60" customWidth="1"/>
    <col min="8966" max="8967" width="9.5703125" style="60" customWidth="1"/>
    <col min="8968" max="8968" width="9.85546875" style="60" customWidth="1"/>
    <col min="8969" max="8969" width="10.42578125" style="60" customWidth="1"/>
    <col min="8970" max="8970" width="10.7109375" style="60" customWidth="1"/>
    <col min="8971" max="8974" width="9.140625" style="60"/>
    <col min="8975" max="8975" width="10.7109375" style="60" bestFit="1" customWidth="1"/>
    <col min="8976" max="9216" width="9.140625" style="60"/>
    <col min="9217" max="9217" width="6" style="60" customWidth="1"/>
    <col min="9218" max="9218" width="17.85546875" style="60" customWidth="1"/>
    <col min="9219" max="9220" width="9.85546875" style="60" customWidth="1"/>
    <col min="9221" max="9221" width="11.28515625" style="60" customWidth="1"/>
    <col min="9222" max="9223" width="9.5703125" style="60" customWidth="1"/>
    <col min="9224" max="9224" width="9.85546875" style="60" customWidth="1"/>
    <col min="9225" max="9225" width="10.42578125" style="60" customWidth="1"/>
    <col min="9226" max="9226" width="10.7109375" style="60" customWidth="1"/>
    <col min="9227" max="9230" width="9.140625" style="60"/>
    <col min="9231" max="9231" width="10.7109375" style="60" bestFit="1" customWidth="1"/>
    <col min="9232" max="9472" width="9.140625" style="60"/>
    <col min="9473" max="9473" width="6" style="60" customWidth="1"/>
    <col min="9474" max="9474" width="17.85546875" style="60" customWidth="1"/>
    <col min="9475" max="9476" width="9.85546875" style="60" customWidth="1"/>
    <col min="9477" max="9477" width="11.28515625" style="60" customWidth="1"/>
    <col min="9478" max="9479" width="9.5703125" style="60" customWidth="1"/>
    <col min="9480" max="9480" width="9.85546875" style="60" customWidth="1"/>
    <col min="9481" max="9481" width="10.42578125" style="60" customWidth="1"/>
    <col min="9482" max="9482" width="10.7109375" style="60" customWidth="1"/>
    <col min="9483" max="9486" width="9.140625" style="60"/>
    <col min="9487" max="9487" width="10.7109375" style="60" bestFit="1" customWidth="1"/>
    <col min="9488" max="9728" width="9.140625" style="60"/>
    <col min="9729" max="9729" width="6" style="60" customWidth="1"/>
    <col min="9730" max="9730" width="17.85546875" style="60" customWidth="1"/>
    <col min="9731" max="9732" width="9.85546875" style="60" customWidth="1"/>
    <col min="9733" max="9733" width="11.28515625" style="60" customWidth="1"/>
    <col min="9734" max="9735" width="9.5703125" style="60" customWidth="1"/>
    <col min="9736" max="9736" width="9.85546875" style="60" customWidth="1"/>
    <col min="9737" max="9737" width="10.42578125" style="60" customWidth="1"/>
    <col min="9738" max="9738" width="10.7109375" style="60" customWidth="1"/>
    <col min="9739" max="9742" width="9.140625" style="60"/>
    <col min="9743" max="9743" width="10.7109375" style="60" bestFit="1" customWidth="1"/>
    <col min="9744" max="9984" width="9.140625" style="60"/>
    <col min="9985" max="9985" width="6" style="60" customWidth="1"/>
    <col min="9986" max="9986" width="17.85546875" style="60" customWidth="1"/>
    <col min="9987" max="9988" width="9.85546875" style="60" customWidth="1"/>
    <col min="9989" max="9989" width="11.28515625" style="60" customWidth="1"/>
    <col min="9990" max="9991" width="9.5703125" style="60" customWidth="1"/>
    <col min="9992" max="9992" width="9.85546875" style="60" customWidth="1"/>
    <col min="9993" max="9993" width="10.42578125" style="60" customWidth="1"/>
    <col min="9994" max="9994" width="10.7109375" style="60" customWidth="1"/>
    <col min="9995" max="9998" width="9.140625" style="60"/>
    <col min="9999" max="9999" width="10.7109375" style="60" bestFit="1" customWidth="1"/>
    <col min="10000" max="10240" width="9.140625" style="60"/>
    <col min="10241" max="10241" width="6" style="60" customWidth="1"/>
    <col min="10242" max="10242" width="17.85546875" style="60" customWidth="1"/>
    <col min="10243" max="10244" width="9.85546875" style="60" customWidth="1"/>
    <col min="10245" max="10245" width="11.28515625" style="60" customWidth="1"/>
    <col min="10246" max="10247" width="9.5703125" style="60" customWidth="1"/>
    <col min="10248" max="10248" width="9.85546875" style="60" customWidth="1"/>
    <col min="10249" max="10249" width="10.42578125" style="60" customWidth="1"/>
    <col min="10250" max="10250" width="10.7109375" style="60" customWidth="1"/>
    <col min="10251" max="10254" width="9.140625" style="60"/>
    <col min="10255" max="10255" width="10.7109375" style="60" bestFit="1" customWidth="1"/>
    <col min="10256" max="10496" width="9.140625" style="60"/>
    <col min="10497" max="10497" width="6" style="60" customWidth="1"/>
    <col min="10498" max="10498" width="17.85546875" style="60" customWidth="1"/>
    <col min="10499" max="10500" width="9.85546875" style="60" customWidth="1"/>
    <col min="10501" max="10501" width="11.28515625" style="60" customWidth="1"/>
    <col min="10502" max="10503" width="9.5703125" style="60" customWidth="1"/>
    <col min="10504" max="10504" width="9.85546875" style="60" customWidth="1"/>
    <col min="10505" max="10505" width="10.42578125" style="60" customWidth="1"/>
    <col min="10506" max="10506" width="10.7109375" style="60" customWidth="1"/>
    <col min="10507" max="10510" width="9.140625" style="60"/>
    <col min="10511" max="10511" width="10.7109375" style="60" bestFit="1" customWidth="1"/>
    <col min="10512" max="10752" width="9.140625" style="60"/>
    <col min="10753" max="10753" width="6" style="60" customWidth="1"/>
    <col min="10754" max="10754" width="17.85546875" style="60" customWidth="1"/>
    <col min="10755" max="10756" width="9.85546875" style="60" customWidth="1"/>
    <col min="10757" max="10757" width="11.28515625" style="60" customWidth="1"/>
    <col min="10758" max="10759" width="9.5703125" style="60" customWidth="1"/>
    <col min="10760" max="10760" width="9.85546875" style="60" customWidth="1"/>
    <col min="10761" max="10761" width="10.42578125" style="60" customWidth="1"/>
    <col min="10762" max="10762" width="10.7109375" style="60" customWidth="1"/>
    <col min="10763" max="10766" width="9.140625" style="60"/>
    <col min="10767" max="10767" width="10.7109375" style="60" bestFit="1" customWidth="1"/>
    <col min="10768" max="11008" width="9.140625" style="60"/>
    <col min="11009" max="11009" width="6" style="60" customWidth="1"/>
    <col min="11010" max="11010" width="17.85546875" style="60" customWidth="1"/>
    <col min="11011" max="11012" width="9.85546875" style="60" customWidth="1"/>
    <col min="11013" max="11013" width="11.28515625" style="60" customWidth="1"/>
    <col min="11014" max="11015" width="9.5703125" style="60" customWidth="1"/>
    <col min="11016" max="11016" width="9.85546875" style="60" customWidth="1"/>
    <col min="11017" max="11017" width="10.42578125" style="60" customWidth="1"/>
    <col min="11018" max="11018" width="10.7109375" style="60" customWidth="1"/>
    <col min="11019" max="11022" width="9.140625" style="60"/>
    <col min="11023" max="11023" width="10.7109375" style="60" bestFit="1" customWidth="1"/>
    <col min="11024" max="11264" width="9.140625" style="60"/>
    <col min="11265" max="11265" width="6" style="60" customWidth="1"/>
    <col min="11266" max="11266" width="17.85546875" style="60" customWidth="1"/>
    <col min="11267" max="11268" width="9.85546875" style="60" customWidth="1"/>
    <col min="11269" max="11269" width="11.28515625" style="60" customWidth="1"/>
    <col min="11270" max="11271" width="9.5703125" style="60" customWidth="1"/>
    <col min="11272" max="11272" width="9.85546875" style="60" customWidth="1"/>
    <col min="11273" max="11273" width="10.42578125" style="60" customWidth="1"/>
    <col min="11274" max="11274" width="10.7109375" style="60" customWidth="1"/>
    <col min="11275" max="11278" width="9.140625" style="60"/>
    <col min="11279" max="11279" width="10.7109375" style="60" bestFit="1" customWidth="1"/>
    <col min="11280" max="11520" width="9.140625" style="60"/>
    <col min="11521" max="11521" width="6" style="60" customWidth="1"/>
    <col min="11522" max="11522" width="17.85546875" style="60" customWidth="1"/>
    <col min="11523" max="11524" width="9.85546875" style="60" customWidth="1"/>
    <col min="11525" max="11525" width="11.28515625" style="60" customWidth="1"/>
    <col min="11526" max="11527" width="9.5703125" style="60" customWidth="1"/>
    <col min="11528" max="11528" width="9.85546875" style="60" customWidth="1"/>
    <col min="11529" max="11529" width="10.42578125" style="60" customWidth="1"/>
    <col min="11530" max="11530" width="10.7109375" style="60" customWidth="1"/>
    <col min="11531" max="11534" width="9.140625" style="60"/>
    <col min="11535" max="11535" width="10.7109375" style="60" bestFit="1" customWidth="1"/>
    <col min="11536" max="11776" width="9.140625" style="60"/>
    <col min="11777" max="11777" width="6" style="60" customWidth="1"/>
    <col min="11778" max="11778" width="17.85546875" style="60" customWidth="1"/>
    <col min="11779" max="11780" width="9.85546875" style="60" customWidth="1"/>
    <col min="11781" max="11781" width="11.28515625" style="60" customWidth="1"/>
    <col min="11782" max="11783" width="9.5703125" style="60" customWidth="1"/>
    <col min="11784" max="11784" width="9.85546875" style="60" customWidth="1"/>
    <col min="11785" max="11785" width="10.42578125" style="60" customWidth="1"/>
    <col min="11786" max="11786" width="10.7109375" style="60" customWidth="1"/>
    <col min="11787" max="11790" width="9.140625" style="60"/>
    <col min="11791" max="11791" width="10.7109375" style="60" bestFit="1" customWidth="1"/>
    <col min="11792" max="12032" width="9.140625" style="60"/>
    <col min="12033" max="12033" width="6" style="60" customWidth="1"/>
    <col min="12034" max="12034" width="17.85546875" style="60" customWidth="1"/>
    <col min="12035" max="12036" width="9.85546875" style="60" customWidth="1"/>
    <col min="12037" max="12037" width="11.28515625" style="60" customWidth="1"/>
    <col min="12038" max="12039" width="9.5703125" style="60" customWidth="1"/>
    <col min="12040" max="12040" width="9.85546875" style="60" customWidth="1"/>
    <col min="12041" max="12041" width="10.42578125" style="60" customWidth="1"/>
    <col min="12042" max="12042" width="10.7109375" style="60" customWidth="1"/>
    <col min="12043" max="12046" width="9.140625" style="60"/>
    <col min="12047" max="12047" width="10.7109375" style="60" bestFit="1" customWidth="1"/>
    <col min="12048" max="12288" width="9.140625" style="60"/>
    <col min="12289" max="12289" width="6" style="60" customWidth="1"/>
    <col min="12290" max="12290" width="17.85546875" style="60" customWidth="1"/>
    <col min="12291" max="12292" width="9.85546875" style="60" customWidth="1"/>
    <col min="12293" max="12293" width="11.28515625" style="60" customWidth="1"/>
    <col min="12294" max="12295" width="9.5703125" style="60" customWidth="1"/>
    <col min="12296" max="12296" width="9.85546875" style="60" customWidth="1"/>
    <col min="12297" max="12297" width="10.42578125" style="60" customWidth="1"/>
    <col min="12298" max="12298" width="10.7109375" style="60" customWidth="1"/>
    <col min="12299" max="12302" width="9.140625" style="60"/>
    <col min="12303" max="12303" width="10.7109375" style="60" bestFit="1" customWidth="1"/>
    <col min="12304" max="12544" width="9.140625" style="60"/>
    <col min="12545" max="12545" width="6" style="60" customWidth="1"/>
    <col min="12546" max="12546" width="17.85546875" style="60" customWidth="1"/>
    <col min="12547" max="12548" width="9.85546875" style="60" customWidth="1"/>
    <col min="12549" max="12549" width="11.28515625" style="60" customWidth="1"/>
    <col min="12550" max="12551" width="9.5703125" style="60" customWidth="1"/>
    <col min="12552" max="12552" width="9.85546875" style="60" customWidth="1"/>
    <col min="12553" max="12553" width="10.42578125" style="60" customWidth="1"/>
    <col min="12554" max="12554" width="10.7109375" style="60" customWidth="1"/>
    <col min="12555" max="12558" width="9.140625" style="60"/>
    <col min="12559" max="12559" width="10.7109375" style="60" bestFit="1" customWidth="1"/>
    <col min="12560" max="12800" width="9.140625" style="60"/>
    <col min="12801" max="12801" width="6" style="60" customWidth="1"/>
    <col min="12802" max="12802" width="17.85546875" style="60" customWidth="1"/>
    <col min="12803" max="12804" width="9.85546875" style="60" customWidth="1"/>
    <col min="12805" max="12805" width="11.28515625" style="60" customWidth="1"/>
    <col min="12806" max="12807" width="9.5703125" style="60" customWidth="1"/>
    <col min="12808" max="12808" width="9.85546875" style="60" customWidth="1"/>
    <col min="12809" max="12809" width="10.42578125" style="60" customWidth="1"/>
    <col min="12810" max="12810" width="10.7109375" style="60" customWidth="1"/>
    <col min="12811" max="12814" width="9.140625" style="60"/>
    <col min="12815" max="12815" width="10.7109375" style="60" bestFit="1" customWidth="1"/>
    <col min="12816" max="13056" width="9.140625" style="60"/>
    <col min="13057" max="13057" width="6" style="60" customWidth="1"/>
    <col min="13058" max="13058" width="17.85546875" style="60" customWidth="1"/>
    <col min="13059" max="13060" width="9.85546875" style="60" customWidth="1"/>
    <col min="13061" max="13061" width="11.28515625" style="60" customWidth="1"/>
    <col min="13062" max="13063" width="9.5703125" style="60" customWidth="1"/>
    <col min="13064" max="13064" width="9.85546875" style="60" customWidth="1"/>
    <col min="13065" max="13065" width="10.42578125" style="60" customWidth="1"/>
    <col min="13066" max="13066" width="10.7109375" style="60" customWidth="1"/>
    <col min="13067" max="13070" width="9.140625" style="60"/>
    <col min="13071" max="13071" width="10.7109375" style="60" bestFit="1" customWidth="1"/>
    <col min="13072" max="13312" width="9.140625" style="60"/>
    <col min="13313" max="13313" width="6" style="60" customWidth="1"/>
    <col min="13314" max="13314" width="17.85546875" style="60" customWidth="1"/>
    <col min="13315" max="13316" width="9.85546875" style="60" customWidth="1"/>
    <col min="13317" max="13317" width="11.28515625" style="60" customWidth="1"/>
    <col min="13318" max="13319" width="9.5703125" style="60" customWidth="1"/>
    <col min="13320" max="13320" width="9.85546875" style="60" customWidth="1"/>
    <col min="13321" max="13321" width="10.42578125" style="60" customWidth="1"/>
    <col min="13322" max="13322" width="10.7109375" style="60" customWidth="1"/>
    <col min="13323" max="13326" width="9.140625" style="60"/>
    <col min="13327" max="13327" width="10.7109375" style="60" bestFit="1" customWidth="1"/>
    <col min="13328" max="13568" width="9.140625" style="60"/>
    <col min="13569" max="13569" width="6" style="60" customWidth="1"/>
    <col min="13570" max="13570" width="17.85546875" style="60" customWidth="1"/>
    <col min="13571" max="13572" width="9.85546875" style="60" customWidth="1"/>
    <col min="13573" max="13573" width="11.28515625" style="60" customWidth="1"/>
    <col min="13574" max="13575" width="9.5703125" style="60" customWidth="1"/>
    <col min="13576" max="13576" width="9.85546875" style="60" customWidth="1"/>
    <col min="13577" max="13577" width="10.42578125" style="60" customWidth="1"/>
    <col min="13578" max="13578" width="10.7109375" style="60" customWidth="1"/>
    <col min="13579" max="13582" width="9.140625" style="60"/>
    <col min="13583" max="13583" width="10.7109375" style="60" bestFit="1" customWidth="1"/>
    <col min="13584" max="13824" width="9.140625" style="60"/>
    <col min="13825" max="13825" width="6" style="60" customWidth="1"/>
    <col min="13826" max="13826" width="17.85546875" style="60" customWidth="1"/>
    <col min="13827" max="13828" width="9.85546875" style="60" customWidth="1"/>
    <col min="13829" max="13829" width="11.28515625" style="60" customWidth="1"/>
    <col min="13830" max="13831" width="9.5703125" style="60" customWidth="1"/>
    <col min="13832" max="13832" width="9.85546875" style="60" customWidth="1"/>
    <col min="13833" max="13833" width="10.42578125" style="60" customWidth="1"/>
    <col min="13834" max="13834" width="10.7109375" style="60" customWidth="1"/>
    <col min="13835" max="13838" width="9.140625" style="60"/>
    <col min="13839" max="13839" width="10.7109375" style="60" bestFit="1" customWidth="1"/>
    <col min="13840" max="14080" width="9.140625" style="60"/>
    <col min="14081" max="14081" width="6" style="60" customWidth="1"/>
    <col min="14082" max="14082" width="17.85546875" style="60" customWidth="1"/>
    <col min="14083" max="14084" width="9.85546875" style="60" customWidth="1"/>
    <col min="14085" max="14085" width="11.28515625" style="60" customWidth="1"/>
    <col min="14086" max="14087" width="9.5703125" style="60" customWidth="1"/>
    <col min="14088" max="14088" width="9.85546875" style="60" customWidth="1"/>
    <col min="14089" max="14089" width="10.42578125" style="60" customWidth="1"/>
    <col min="14090" max="14090" width="10.7109375" style="60" customWidth="1"/>
    <col min="14091" max="14094" width="9.140625" style="60"/>
    <col min="14095" max="14095" width="10.7109375" style="60" bestFit="1" customWidth="1"/>
    <col min="14096" max="14336" width="9.140625" style="60"/>
    <col min="14337" max="14337" width="6" style="60" customWidth="1"/>
    <col min="14338" max="14338" width="17.85546875" style="60" customWidth="1"/>
    <col min="14339" max="14340" width="9.85546875" style="60" customWidth="1"/>
    <col min="14341" max="14341" width="11.28515625" style="60" customWidth="1"/>
    <col min="14342" max="14343" width="9.5703125" style="60" customWidth="1"/>
    <col min="14344" max="14344" width="9.85546875" style="60" customWidth="1"/>
    <col min="14345" max="14345" width="10.42578125" style="60" customWidth="1"/>
    <col min="14346" max="14346" width="10.7109375" style="60" customWidth="1"/>
    <col min="14347" max="14350" width="9.140625" style="60"/>
    <col min="14351" max="14351" width="10.7109375" style="60" bestFit="1" customWidth="1"/>
    <col min="14352" max="14592" width="9.140625" style="60"/>
    <col min="14593" max="14593" width="6" style="60" customWidth="1"/>
    <col min="14594" max="14594" width="17.85546875" style="60" customWidth="1"/>
    <col min="14595" max="14596" width="9.85546875" style="60" customWidth="1"/>
    <col min="14597" max="14597" width="11.28515625" style="60" customWidth="1"/>
    <col min="14598" max="14599" width="9.5703125" style="60" customWidth="1"/>
    <col min="14600" max="14600" width="9.85546875" style="60" customWidth="1"/>
    <col min="14601" max="14601" width="10.42578125" style="60" customWidth="1"/>
    <col min="14602" max="14602" width="10.7109375" style="60" customWidth="1"/>
    <col min="14603" max="14606" width="9.140625" style="60"/>
    <col min="14607" max="14607" width="10.7109375" style="60" bestFit="1" customWidth="1"/>
    <col min="14608" max="14848" width="9.140625" style="60"/>
    <col min="14849" max="14849" width="6" style="60" customWidth="1"/>
    <col min="14850" max="14850" width="17.85546875" style="60" customWidth="1"/>
    <col min="14851" max="14852" width="9.85546875" style="60" customWidth="1"/>
    <col min="14853" max="14853" width="11.28515625" style="60" customWidth="1"/>
    <col min="14854" max="14855" width="9.5703125" style="60" customWidth="1"/>
    <col min="14856" max="14856" width="9.85546875" style="60" customWidth="1"/>
    <col min="14857" max="14857" width="10.42578125" style="60" customWidth="1"/>
    <col min="14858" max="14858" width="10.7109375" style="60" customWidth="1"/>
    <col min="14859" max="14862" width="9.140625" style="60"/>
    <col min="14863" max="14863" width="10.7109375" style="60" bestFit="1" customWidth="1"/>
    <col min="14864" max="15104" width="9.140625" style="60"/>
    <col min="15105" max="15105" width="6" style="60" customWidth="1"/>
    <col min="15106" max="15106" width="17.85546875" style="60" customWidth="1"/>
    <col min="15107" max="15108" width="9.85546875" style="60" customWidth="1"/>
    <col min="15109" max="15109" width="11.28515625" style="60" customWidth="1"/>
    <col min="15110" max="15111" width="9.5703125" style="60" customWidth="1"/>
    <col min="15112" max="15112" width="9.85546875" style="60" customWidth="1"/>
    <col min="15113" max="15113" width="10.42578125" style="60" customWidth="1"/>
    <col min="15114" max="15114" width="10.7109375" style="60" customWidth="1"/>
    <col min="15115" max="15118" width="9.140625" style="60"/>
    <col min="15119" max="15119" width="10.7109375" style="60" bestFit="1" customWidth="1"/>
    <col min="15120" max="15360" width="9.140625" style="60"/>
    <col min="15361" max="15361" width="6" style="60" customWidth="1"/>
    <col min="15362" max="15362" width="17.85546875" style="60" customWidth="1"/>
    <col min="15363" max="15364" width="9.85546875" style="60" customWidth="1"/>
    <col min="15365" max="15365" width="11.28515625" style="60" customWidth="1"/>
    <col min="15366" max="15367" width="9.5703125" style="60" customWidth="1"/>
    <col min="15368" max="15368" width="9.85546875" style="60" customWidth="1"/>
    <col min="15369" max="15369" width="10.42578125" style="60" customWidth="1"/>
    <col min="15370" max="15370" width="10.7109375" style="60" customWidth="1"/>
    <col min="15371" max="15374" width="9.140625" style="60"/>
    <col min="15375" max="15375" width="10.7109375" style="60" bestFit="1" customWidth="1"/>
    <col min="15376" max="15616" width="9.140625" style="60"/>
    <col min="15617" max="15617" width="6" style="60" customWidth="1"/>
    <col min="15618" max="15618" width="17.85546875" style="60" customWidth="1"/>
    <col min="15619" max="15620" width="9.85546875" style="60" customWidth="1"/>
    <col min="15621" max="15621" width="11.28515625" style="60" customWidth="1"/>
    <col min="15622" max="15623" width="9.5703125" style="60" customWidth="1"/>
    <col min="15624" max="15624" width="9.85546875" style="60" customWidth="1"/>
    <col min="15625" max="15625" width="10.42578125" style="60" customWidth="1"/>
    <col min="15626" max="15626" width="10.7109375" style="60" customWidth="1"/>
    <col min="15627" max="15630" width="9.140625" style="60"/>
    <col min="15631" max="15631" width="10.7109375" style="60" bestFit="1" customWidth="1"/>
    <col min="15632" max="15872" width="9.140625" style="60"/>
    <col min="15873" max="15873" width="6" style="60" customWidth="1"/>
    <col min="15874" max="15874" width="17.85546875" style="60" customWidth="1"/>
    <col min="15875" max="15876" width="9.85546875" style="60" customWidth="1"/>
    <col min="15877" max="15877" width="11.28515625" style="60" customWidth="1"/>
    <col min="15878" max="15879" width="9.5703125" style="60" customWidth="1"/>
    <col min="15880" max="15880" width="9.85546875" style="60" customWidth="1"/>
    <col min="15881" max="15881" width="10.42578125" style="60" customWidth="1"/>
    <col min="15882" max="15882" width="10.7109375" style="60" customWidth="1"/>
    <col min="15883" max="15886" width="9.140625" style="60"/>
    <col min="15887" max="15887" width="10.7109375" style="60" bestFit="1" customWidth="1"/>
    <col min="15888" max="16128" width="9.140625" style="60"/>
    <col min="16129" max="16129" width="6" style="60" customWidth="1"/>
    <col min="16130" max="16130" width="17.85546875" style="60" customWidth="1"/>
    <col min="16131" max="16132" width="9.85546875" style="60" customWidth="1"/>
    <col min="16133" max="16133" width="11.28515625" style="60" customWidth="1"/>
    <col min="16134" max="16135" width="9.5703125" style="60" customWidth="1"/>
    <col min="16136" max="16136" width="9.85546875" style="60" customWidth="1"/>
    <col min="16137" max="16137" width="10.42578125" style="60" customWidth="1"/>
    <col min="16138" max="16138" width="10.7109375" style="60" customWidth="1"/>
    <col min="16139" max="16142" width="9.140625" style="60"/>
    <col min="16143" max="16143" width="10.7109375" style="60" bestFit="1" customWidth="1"/>
    <col min="16144" max="16384" width="9.140625" style="60"/>
  </cols>
  <sheetData>
    <row r="2" spans="1:14" x14ac:dyDescent="0.2">
      <c r="B2" s="134" t="s">
        <v>95</v>
      </c>
      <c r="C2" s="79"/>
    </row>
    <row r="3" spans="1:14" x14ac:dyDescent="0.2">
      <c r="C3" s="79"/>
    </row>
    <row r="4" spans="1:14" x14ac:dyDescent="0.2">
      <c r="C4" s="172"/>
      <c r="D4" s="172"/>
      <c r="E4" s="172"/>
      <c r="F4" s="172"/>
      <c r="G4" s="172"/>
      <c r="H4" s="173"/>
      <c r="I4" s="173"/>
      <c r="J4" s="134"/>
    </row>
    <row r="5" spans="1:14" x14ac:dyDescent="0.2">
      <c r="C5" s="172"/>
      <c r="D5" s="172"/>
      <c r="E5" s="172"/>
      <c r="F5" s="172"/>
      <c r="G5" s="172"/>
      <c r="H5" s="173"/>
      <c r="I5" s="173"/>
      <c r="J5" s="172"/>
    </row>
    <row r="6" spans="1:14" ht="9.9499999999999993" customHeight="1" x14ac:dyDescent="0.2">
      <c r="C6" s="82">
        <v>43251</v>
      </c>
      <c r="D6" s="83">
        <f t="shared" ref="D6:N6" si="0">EOMONTH(C6,1)</f>
        <v>43281</v>
      </c>
      <c r="E6" s="83">
        <f t="shared" si="0"/>
        <v>43312</v>
      </c>
      <c r="F6" s="83">
        <f t="shared" si="0"/>
        <v>43343</v>
      </c>
      <c r="G6" s="83">
        <f t="shared" si="0"/>
        <v>43373</v>
      </c>
      <c r="H6" s="83">
        <f t="shared" si="0"/>
        <v>43404</v>
      </c>
      <c r="I6" s="83">
        <f t="shared" si="0"/>
        <v>43434</v>
      </c>
      <c r="J6" s="83">
        <f t="shared" si="0"/>
        <v>43465</v>
      </c>
      <c r="K6" s="83">
        <f t="shared" si="0"/>
        <v>43496</v>
      </c>
      <c r="L6" s="83">
        <f t="shared" si="0"/>
        <v>43524</v>
      </c>
      <c r="M6" s="83">
        <f t="shared" si="0"/>
        <v>43555</v>
      </c>
      <c r="N6" s="83">
        <f t="shared" si="0"/>
        <v>43585</v>
      </c>
    </row>
    <row r="7" spans="1:14" s="61" customFormat="1" x14ac:dyDescent="0.2">
      <c r="A7" s="171" t="s">
        <v>34</v>
      </c>
      <c r="C7" s="174">
        <v>9.17</v>
      </c>
      <c r="D7" s="174">
        <v>8.9700000000000006</v>
      </c>
      <c r="E7" s="174">
        <v>5.47</v>
      </c>
      <c r="F7" s="174">
        <v>5.31</v>
      </c>
      <c r="G7" s="174">
        <v>4.9800000000000004</v>
      </c>
      <c r="H7" s="174">
        <v>5.28</v>
      </c>
      <c r="I7" s="174"/>
      <c r="J7" s="174"/>
      <c r="K7" s="174"/>
      <c r="L7" s="174"/>
      <c r="M7" s="174"/>
      <c r="N7" s="174"/>
    </row>
    <row r="8" spans="1:14" x14ac:dyDescent="0.2">
      <c r="A8" s="60" t="s">
        <v>35</v>
      </c>
      <c r="C8" s="86">
        <v>0</v>
      </c>
      <c r="D8" s="86">
        <v>0</v>
      </c>
      <c r="E8" s="86">
        <v>0</v>
      </c>
      <c r="F8" s="86">
        <v>0</v>
      </c>
      <c r="G8" s="86">
        <v>0</v>
      </c>
      <c r="H8" s="86">
        <v>0</v>
      </c>
      <c r="I8" s="86">
        <v>0</v>
      </c>
      <c r="J8" s="86">
        <v>0</v>
      </c>
      <c r="K8" s="86">
        <v>0</v>
      </c>
      <c r="L8" s="86">
        <v>0</v>
      </c>
      <c r="M8" s="86">
        <v>0</v>
      </c>
      <c r="N8" s="86">
        <v>0</v>
      </c>
    </row>
    <row r="9" spans="1:14" x14ac:dyDescent="0.2">
      <c r="A9" s="60" t="s">
        <v>36</v>
      </c>
      <c r="C9" s="87">
        <f t="shared" ref="C9:N9" si="1">+C7*C8</f>
        <v>0</v>
      </c>
      <c r="D9" s="87">
        <f t="shared" si="1"/>
        <v>0</v>
      </c>
      <c r="E9" s="87">
        <f t="shared" si="1"/>
        <v>0</v>
      </c>
      <c r="F9" s="87">
        <f t="shared" si="1"/>
        <v>0</v>
      </c>
      <c r="G9" s="87">
        <f t="shared" si="1"/>
        <v>0</v>
      </c>
      <c r="H9" s="87">
        <f t="shared" si="1"/>
        <v>0</v>
      </c>
      <c r="I9" s="87">
        <f t="shared" si="1"/>
        <v>0</v>
      </c>
      <c r="J9" s="87">
        <f t="shared" si="1"/>
        <v>0</v>
      </c>
      <c r="K9" s="87">
        <f t="shared" si="1"/>
        <v>0</v>
      </c>
      <c r="L9" s="87">
        <f t="shared" si="1"/>
        <v>0</v>
      </c>
      <c r="M9" s="87">
        <f t="shared" si="1"/>
        <v>0</v>
      </c>
      <c r="N9" s="87">
        <f t="shared" si="1"/>
        <v>0</v>
      </c>
    </row>
    <row r="10" spans="1:14" x14ac:dyDescent="0.2">
      <c r="A10" s="134" t="s">
        <v>37</v>
      </c>
      <c r="C10" s="88">
        <f t="shared" ref="C10:N10" si="2">+C7-C9</f>
        <v>9.17</v>
      </c>
      <c r="D10" s="88">
        <f t="shared" si="2"/>
        <v>8.9700000000000006</v>
      </c>
      <c r="E10" s="88">
        <f t="shared" si="2"/>
        <v>5.47</v>
      </c>
      <c r="F10" s="88">
        <f t="shared" si="2"/>
        <v>5.31</v>
      </c>
      <c r="G10" s="88">
        <f t="shared" si="2"/>
        <v>4.9800000000000004</v>
      </c>
      <c r="H10" s="88">
        <f t="shared" si="2"/>
        <v>5.28</v>
      </c>
      <c r="I10" s="88">
        <f t="shared" si="2"/>
        <v>0</v>
      </c>
      <c r="J10" s="88">
        <f t="shared" si="2"/>
        <v>0</v>
      </c>
      <c r="K10" s="88">
        <f t="shared" si="2"/>
        <v>0</v>
      </c>
      <c r="L10" s="88">
        <f t="shared" si="2"/>
        <v>0</v>
      </c>
      <c r="M10" s="88">
        <f t="shared" si="2"/>
        <v>0</v>
      </c>
      <c r="N10" s="88">
        <f t="shared" si="2"/>
        <v>0</v>
      </c>
    </row>
    <row r="12" spans="1:14" x14ac:dyDescent="0.2">
      <c r="A12" s="134" t="s">
        <v>38</v>
      </c>
    </row>
    <row r="13" spans="1:14" s="89" customFormat="1" x14ac:dyDescent="0.2">
      <c r="B13" s="89" t="s">
        <v>24</v>
      </c>
      <c r="C13" s="90">
        <v>0</v>
      </c>
      <c r="D13" s="90">
        <v>0</v>
      </c>
      <c r="E13" s="90">
        <v>0</v>
      </c>
      <c r="F13" s="90">
        <v>0</v>
      </c>
      <c r="G13" s="90">
        <v>0</v>
      </c>
      <c r="H13" s="90">
        <v>0</v>
      </c>
      <c r="I13" s="90"/>
      <c r="J13" s="90"/>
      <c r="K13" s="90"/>
      <c r="L13" s="90"/>
      <c r="M13" s="90"/>
      <c r="N13" s="90"/>
    </row>
    <row r="14" spans="1:14" s="89" customFormat="1" x14ac:dyDescent="0.2">
      <c r="B14" s="89" t="s">
        <v>28</v>
      </c>
      <c r="C14" s="90">
        <v>0.1782</v>
      </c>
      <c r="D14" s="90">
        <v>0.1782</v>
      </c>
      <c r="E14" s="90">
        <v>0.1782</v>
      </c>
      <c r="F14" s="90">
        <v>0.1782</v>
      </c>
      <c r="G14" s="90">
        <v>0.1782</v>
      </c>
      <c r="H14" s="90">
        <v>0.1782</v>
      </c>
      <c r="I14" s="90"/>
      <c r="J14" s="90"/>
      <c r="K14" s="90"/>
      <c r="L14" s="90"/>
      <c r="M14" s="90"/>
      <c r="N14" s="90"/>
    </row>
    <row r="15" spans="1:14" s="89" customFormat="1" x14ac:dyDescent="0.2">
      <c r="B15" s="89" t="s">
        <v>39</v>
      </c>
      <c r="C15" s="90">
        <v>0</v>
      </c>
      <c r="D15" s="90">
        <v>0</v>
      </c>
      <c r="E15" s="90">
        <v>0</v>
      </c>
      <c r="F15" s="90">
        <v>0</v>
      </c>
      <c r="G15" s="90">
        <v>0</v>
      </c>
      <c r="H15" s="90">
        <v>0</v>
      </c>
      <c r="I15" s="90"/>
      <c r="J15" s="90"/>
      <c r="K15" s="90"/>
      <c r="L15" s="90"/>
      <c r="M15" s="90"/>
      <c r="N15" s="90"/>
    </row>
    <row r="16" spans="1:14" s="89" customFormat="1" x14ac:dyDescent="0.2">
      <c r="B16" s="89" t="s">
        <v>40</v>
      </c>
      <c r="C16" s="90">
        <v>1.6500000000000001E-2</v>
      </c>
      <c r="D16" s="90">
        <v>1.6500000000000001E-2</v>
      </c>
      <c r="E16" s="90">
        <v>1.6500000000000001E-2</v>
      </c>
      <c r="F16" s="90">
        <v>1.6500000000000001E-2</v>
      </c>
      <c r="G16" s="90">
        <v>1.6500000000000001E-2</v>
      </c>
      <c r="H16" s="90">
        <v>1.6500000000000001E-2</v>
      </c>
      <c r="I16" s="90"/>
      <c r="J16" s="90"/>
      <c r="K16" s="90"/>
      <c r="L16" s="90"/>
      <c r="M16" s="90"/>
      <c r="N16" s="90"/>
    </row>
    <row r="17" spans="1:14" s="89" customFormat="1" x14ac:dyDescent="0.2">
      <c r="B17" s="89" t="s">
        <v>41</v>
      </c>
      <c r="C17" s="90">
        <v>4.4900000000000002E-2</v>
      </c>
      <c r="D17" s="90">
        <v>4.4900000000000002E-2</v>
      </c>
      <c r="E17" s="90">
        <v>4.4900000000000002E-2</v>
      </c>
      <c r="F17" s="90">
        <v>4.4900000000000002E-2</v>
      </c>
      <c r="G17" s="90">
        <v>4.4900000000000002E-2</v>
      </c>
      <c r="H17" s="90">
        <v>4.4900000000000002E-2</v>
      </c>
      <c r="I17" s="90"/>
      <c r="J17" s="90"/>
      <c r="K17" s="90"/>
      <c r="L17" s="90"/>
      <c r="M17" s="90"/>
      <c r="N17" s="90"/>
    </row>
    <row r="18" spans="1:14" s="89" customFormat="1" x14ac:dyDescent="0.2">
      <c r="B18" s="89" t="s">
        <v>42</v>
      </c>
      <c r="C18" s="90">
        <v>7.4999999999999997E-3</v>
      </c>
      <c r="D18" s="90">
        <v>7.4999999999999997E-3</v>
      </c>
      <c r="E18" s="90">
        <v>7.4999999999999997E-3</v>
      </c>
      <c r="F18" s="90">
        <v>7.4999999999999997E-3</v>
      </c>
      <c r="G18" s="90">
        <v>7.4999999999999997E-3</v>
      </c>
      <c r="H18" s="90">
        <v>7.4999999999999997E-3</v>
      </c>
      <c r="I18" s="90"/>
      <c r="J18" s="90"/>
      <c r="K18" s="90"/>
      <c r="L18" s="90"/>
      <c r="M18" s="90"/>
      <c r="N18" s="90"/>
    </row>
    <row r="19" spans="1:14" s="89" customFormat="1" x14ac:dyDescent="0.2">
      <c r="B19" s="60" t="s">
        <v>43</v>
      </c>
      <c r="C19" s="90">
        <v>0</v>
      </c>
      <c r="D19" s="90">
        <v>0</v>
      </c>
      <c r="E19" s="90">
        <v>0</v>
      </c>
      <c r="F19" s="90">
        <v>0</v>
      </c>
      <c r="G19" s="90">
        <v>0</v>
      </c>
      <c r="H19" s="90">
        <v>0</v>
      </c>
      <c r="I19" s="90"/>
      <c r="J19" s="90"/>
      <c r="K19" s="90"/>
      <c r="L19" s="90"/>
      <c r="M19" s="90"/>
      <c r="N19" s="90"/>
    </row>
    <row r="20" spans="1:14" s="89" customFormat="1" x14ac:dyDescent="0.2">
      <c r="B20" s="60" t="s">
        <v>22</v>
      </c>
      <c r="C20" s="90">
        <v>0.17680000000000001</v>
      </c>
      <c r="D20" s="90">
        <v>0.17680000000000001</v>
      </c>
      <c r="E20" s="90">
        <v>0.17680000000000001</v>
      </c>
      <c r="F20" s="90">
        <v>0.17680000000000001</v>
      </c>
      <c r="G20" s="90">
        <v>0.17680000000000001</v>
      </c>
      <c r="H20" s="90">
        <v>0.17680000000000001</v>
      </c>
      <c r="I20" s="90"/>
      <c r="J20" s="90"/>
      <c r="K20" s="90"/>
      <c r="L20" s="90"/>
      <c r="M20" s="90"/>
      <c r="N20" s="90"/>
    </row>
    <row r="21" spans="1:14" s="89" customFormat="1" x14ac:dyDescent="0.2">
      <c r="B21" s="89" t="s">
        <v>44</v>
      </c>
      <c r="C21" s="90">
        <v>0</v>
      </c>
      <c r="D21" s="90">
        <v>0</v>
      </c>
      <c r="E21" s="90">
        <v>0</v>
      </c>
      <c r="F21" s="90">
        <v>0</v>
      </c>
      <c r="G21" s="90">
        <v>0</v>
      </c>
      <c r="H21" s="90">
        <v>0</v>
      </c>
      <c r="I21" s="90"/>
      <c r="J21" s="90"/>
      <c r="K21" s="90"/>
      <c r="L21" s="90"/>
      <c r="M21" s="90"/>
      <c r="N21" s="90"/>
    </row>
    <row r="22" spans="1:14" s="89" customFormat="1" x14ac:dyDescent="0.2">
      <c r="B22" s="89" t="s">
        <v>45</v>
      </c>
      <c r="C22" s="90">
        <v>5.930000000000013E-2</v>
      </c>
      <c r="D22" s="90">
        <v>5.930000000000013E-2</v>
      </c>
      <c r="E22" s="90">
        <v>5.930000000000013E-2</v>
      </c>
      <c r="F22" s="90">
        <v>5.930000000000013E-2</v>
      </c>
      <c r="G22" s="90">
        <v>5.930000000000013E-2</v>
      </c>
      <c r="H22" s="90">
        <v>5.930000000000013E-2</v>
      </c>
      <c r="I22" s="90"/>
      <c r="J22" s="90"/>
      <c r="K22" s="90"/>
      <c r="L22" s="90"/>
      <c r="M22" s="90"/>
      <c r="N22" s="90"/>
    </row>
    <row r="23" spans="1:14" s="89" customFormat="1" x14ac:dyDescent="0.2">
      <c r="B23" s="89" t="s">
        <v>46</v>
      </c>
      <c r="C23" s="91">
        <v>0.51680000000000004</v>
      </c>
      <c r="D23" s="90">
        <v>0.51680000000000004</v>
      </c>
      <c r="E23" s="90">
        <v>0.51680000000000004</v>
      </c>
      <c r="F23" s="90">
        <v>0.51680000000000004</v>
      </c>
      <c r="G23" s="90">
        <v>0.51680000000000004</v>
      </c>
      <c r="H23" s="90">
        <v>0.51680000000000004</v>
      </c>
      <c r="I23" s="90"/>
      <c r="J23" s="90"/>
      <c r="K23" s="90"/>
      <c r="L23" s="90"/>
      <c r="M23" s="90"/>
      <c r="N23" s="90"/>
    </row>
    <row r="24" spans="1:14" x14ac:dyDescent="0.2">
      <c r="C24" s="92">
        <v>1</v>
      </c>
      <c r="D24" s="92">
        <v>1</v>
      </c>
      <c r="E24" s="92">
        <v>1</v>
      </c>
      <c r="F24" s="92">
        <v>1</v>
      </c>
      <c r="G24" s="92">
        <v>1</v>
      </c>
      <c r="H24" s="92">
        <v>1</v>
      </c>
      <c r="I24" s="92">
        <v>1</v>
      </c>
      <c r="J24" s="92">
        <v>1</v>
      </c>
      <c r="K24" s="92">
        <v>1</v>
      </c>
      <c r="L24" s="92">
        <v>1</v>
      </c>
      <c r="M24" s="92">
        <v>1</v>
      </c>
      <c r="N24" s="92">
        <v>1</v>
      </c>
    </row>
    <row r="26" spans="1:14" x14ac:dyDescent="0.2">
      <c r="A26" s="134" t="s">
        <v>47</v>
      </c>
    </row>
    <row r="27" spans="1:14" x14ac:dyDescent="0.2">
      <c r="B27" s="60" t="s">
        <v>24</v>
      </c>
      <c r="C27" s="70">
        <f t="shared" ref="C27:N27" si="3">+C$10*C13</f>
        <v>0</v>
      </c>
      <c r="D27" s="70">
        <f t="shared" si="3"/>
        <v>0</v>
      </c>
      <c r="E27" s="70">
        <f t="shared" si="3"/>
        <v>0</v>
      </c>
      <c r="F27" s="70">
        <f t="shared" si="3"/>
        <v>0</v>
      </c>
      <c r="G27" s="70">
        <f t="shared" si="3"/>
        <v>0</v>
      </c>
      <c r="H27" s="70">
        <f t="shared" si="3"/>
        <v>0</v>
      </c>
      <c r="I27" s="70">
        <f t="shared" si="3"/>
        <v>0</v>
      </c>
      <c r="J27" s="70">
        <f t="shared" si="3"/>
        <v>0</v>
      </c>
      <c r="K27" s="70">
        <f t="shared" si="3"/>
        <v>0</v>
      </c>
      <c r="L27" s="70">
        <f t="shared" si="3"/>
        <v>0</v>
      </c>
      <c r="M27" s="70">
        <f t="shared" si="3"/>
        <v>0</v>
      </c>
      <c r="N27" s="70">
        <f t="shared" si="3"/>
        <v>0</v>
      </c>
    </row>
    <row r="28" spans="1:14" x14ac:dyDescent="0.2">
      <c r="B28" s="60" t="s">
        <v>28</v>
      </c>
      <c r="C28" s="70">
        <f t="shared" ref="C28:N28" si="4">+C$10*C14</f>
        <v>1.6340939999999999</v>
      </c>
      <c r="D28" s="70">
        <f t="shared" si="4"/>
        <v>1.598454</v>
      </c>
      <c r="E28" s="70">
        <f t="shared" si="4"/>
        <v>0.9747539999999999</v>
      </c>
      <c r="F28" s="70">
        <f t="shared" si="4"/>
        <v>0.94624199999999992</v>
      </c>
      <c r="G28" s="70">
        <f t="shared" si="4"/>
        <v>0.88743600000000011</v>
      </c>
      <c r="H28" s="70">
        <f t="shared" si="4"/>
        <v>0.94089600000000007</v>
      </c>
      <c r="I28" s="70">
        <f t="shared" si="4"/>
        <v>0</v>
      </c>
      <c r="J28" s="70">
        <f t="shared" si="4"/>
        <v>0</v>
      </c>
      <c r="K28" s="70">
        <f t="shared" si="4"/>
        <v>0</v>
      </c>
      <c r="L28" s="70">
        <f t="shared" si="4"/>
        <v>0</v>
      </c>
      <c r="M28" s="70">
        <f t="shared" si="4"/>
        <v>0</v>
      </c>
      <c r="N28" s="70">
        <f t="shared" si="4"/>
        <v>0</v>
      </c>
    </row>
    <row r="29" spans="1:14" x14ac:dyDescent="0.2">
      <c r="B29" s="60" t="s">
        <v>39</v>
      </c>
      <c r="C29" s="70">
        <f t="shared" ref="C29:N29" si="5">+C$10*C15</f>
        <v>0</v>
      </c>
      <c r="D29" s="70">
        <f t="shared" si="5"/>
        <v>0</v>
      </c>
      <c r="E29" s="70">
        <f t="shared" si="5"/>
        <v>0</v>
      </c>
      <c r="F29" s="70">
        <f t="shared" si="5"/>
        <v>0</v>
      </c>
      <c r="G29" s="70">
        <f t="shared" si="5"/>
        <v>0</v>
      </c>
      <c r="H29" s="70">
        <f t="shared" si="5"/>
        <v>0</v>
      </c>
      <c r="I29" s="70">
        <f t="shared" si="5"/>
        <v>0</v>
      </c>
      <c r="J29" s="70">
        <f t="shared" si="5"/>
        <v>0</v>
      </c>
      <c r="K29" s="70">
        <f t="shared" si="5"/>
        <v>0</v>
      </c>
      <c r="L29" s="70">
        <f t="shared" si="5"/>
        <v>0</v>
      </c>
      <c r="M29" s="70">
        <f t="shared" si="5"/>
        <v>0</v>
      </c>
      <c r="N29" s="70">
        <f t="shared" si="5"/>
        <v>0</v>
      </c>
    </row>
    <row r="30" spans="1:14" x14ac:dyDescent="0.2">
      <c r="B30" s="60" t="s">
        <v>40</v>
      </c>
      <c r="C30" s="70">
        <f t="shared" ref="C30:N30" si="6">+C$10*C16</f>
        <v>0.151305</v>
      </c>
      <c r="D30" s="70">
        <f t="shared" si="6"/>
        <v>0.14800500000000003</v>
      </c>
      <c r="E30" s="70">
        <f t="shared" si="6"/>
        <v>9.0255000000000002E-2</v>
      </c>
      <c r="F30" s="70">
        <f t="shared" si="6"/>
        <v>8.7614999999999998E-2</v>
      </c>
      <c r="G30" s="70">
        <f t="shared" si="6"/>
        <v>8.2170000000000007E-2</v>
      </c>
      <c r="H30" s="70">
        <f t="shared" si="6"/>
        <v>8.7120000000000003E-2</v>
      </c>
      <c r="I30" s="70">
        <f t="shared" si="6"/>
        <v>0</v>
      </c>
      <c r="J30" s="70">
        <f t="shared" si="6"/>
        <v>0</v>
      </c>
      <c r="K30" s="70">
        <f t="shared" si="6"/>
        <v>0</v>
      </c>
      <c r="L30" s="70">
        <f t="shared" si="6"/>
        <v>0</v>
      </c>
      <c r="M30" s="70">
        <f t="shared" si="6"/>
        <v>0</v>
      </c>
      <c r="N30" s="70">
        <f t="shared" si="6"/>
        <v>0</v>
      </c>
    </row>
    <row r="31" spans="1:14" x14ac:dyDescent="0.2">
      <c r="B31" s="60" t="s">
        <v>41</v>
      </c>
      <c r="C31" s="70">
        <f t="shared" ref="C31:N31" si="7">+C$10*C17</f>
        <v>0.41173300000000002</v>
      </c>
      <c r="D31" s="70">
        <f t="shared" si="7"/>
        <v>0.40275300000000003</v>
      </c>
      <c r="E31" s="70">
        <f t="shared" si="7"/>
        <v>0.24560300000000002</v>
      </c>
      <c r="F31" s="70">
        <f t="shared" si="7"/>
        <v>0.23841899999999999</v>
      </c>
      <c r="G31" s="70">
        <f t="shared" si="7"/>
        <v>0.22360200000000002</v>
      </c>
      <c r="H31" s="70">
        <f t="shared" si="7"/>
        <v>0.23707200000000003</v>
      </c>
      <c r="I31" s="70">
        <f t="shared" si="7"/>
        <v>0</v>
      </c>
      <c r="J31" s="70">
        <f t="shared" si="7"/>
        <v>0</v>
      </c>
      <c r="K31" s="70">
        <f t="shared" si="7"/>
        <v>0</v>
      </c>
      <c r="L31" s="70">
        <f t="shared" si="7"/>
        <v>0</v>
      </c>
      <c r="M31" s="70">
        <f t="shared" si="7"/>
        <v>0</v>
      </c>
      <c r="N31" s="70">
        <f t="shared" si="7"/>
        <v>0</v>
      </c>
    </row>
    <row r="32" spans="1:14" x14ac:dyDescent="0.2">
      <c r="B32" s="60" t="s">
        <v>42</v>
      </c>
      <c r="C32" s="70">
        <f t="shared" ref="C32:N32" si="8">+C$10*C18</f>
        <v>6.8775000000000003E-2</v>
      </c>
      <c r="D32" s="70">
        <f t="shared" si="8"/>
        <v>6.7275000000000001E-2</v>
      </c>
      <c r="E32" s="70">
        <f t="shared" si="8"/>
        <v>4.1024999999999999E-2</v>
      </c>
      <c r="F32" s="70">
        <f t="shared" si="8"/>
        <v>3.9824999999999992E-2</v>
      </c>
      <c r="G32" s="70">
        <f t="shared" si="8"/>
        <v>3.7350000000000001E-2</v>
      </c>
      <c r="H32" s="70">
        <f t="shared" si="8"/>
        <v>3.9600000000000003E-2</v>
      </c>
      <c r="I32" s="70">
        <f t="shared" si="8"/>
        <v>0</v>
      </c>
      <c r="J32" s="70">
        <f t="shared" si="8"/>
        <v>0</v>
      </c>
      <c r="K32" s="70">
        <f t="shared" si="8"/>
        <v>0</v>
      </c>
      <c r="L32" s="70">
        <f t="shared" si="8"/>
        <v>0</v>
      </c>
      <c r="M32" s="70">
        <f t="shared" si="8"/>
        <v>0</v>
      </c>
      <c r="N32" s="70">
        <f t="shared" si="8"/>
        <v>0</v>
      </c>
    </row>
    <row r="33" spans="1:14" x14ac:dyDescent="0.2">
      <c r="B33" s="60" t="s">
        <v>43</v>
      </c>
      <c r="C33" s="70">
        <f t="shared" ref="C33:N33" si="9">+C$10*C19</f>
        <v>0</v>
      </c>
      <c r="D33" s="70">
        <f t="shared" si="9"/>
        <v>0</v>
      </c>
      <c r="E33" s="70">
        <f t="shared" si="9"/>
        <v>0</v>
      </c>
      <c r="F33" s="70">
        <f t="shared" si="9"/>
        <v>0</v>
      </c>
      <c r="G33" s="70">
        <f t="shared" si="9"/>
        <v>0</v>
      </c>
      <c r="H33" s="70">
        <f t="shared" si="9"/>
        <v>0</v>
      </c>
      <c r="I33" s="70">
        <f t="shared" si="9"/>
        <v>0</v>
      </c>
      <c r="J33" s="70">
        <f t="shared" si="9"/>
        <v>0</v>
      </c>
      <c r="K33" s="70">
        <f t="shared" si="9"/>
        <v>0</v>
      </c>
      <c r="L33" s="70">
        <f t="shared" si="9"/>
        <v>0</v>
      </c>
      <c r="M33" s="70">
        <f t="shared" si="9"/>
        <v>0</v>
      </c>
      <c r="N33" s="70">
        <f t="shared" si="9"/>
        <v>0</v>
      </c>
    </row>
    <row r="34" spans="1:14" x14ac:dyDescent="0.2">
      <c r="B34" s="60" t="s">
        <v>22</v>
      </c>
      <c r="C34" s="70">
        <f t="shared" ref="C34:N34" si="10">+C$10*C20</f>
        <v>1.621256</v>
      </c>
      <c r="D34" s="70">
        <f t="shared" si="10"/>
        <v>1.5858960000000002</v>
      </c>
      <c r="E34" s="70">
        <f t="shared" si="10"/>
        <v>0.96709600000000007</v>
      </c>
      <c r="F34" s="70">
        <f t="shared" si="10"/>
        <v>0.93880799999999998</v>
      </c>
      <c r="G34" s="70">
        <f t="shared" si="10"/>
        <v>0.88046400000000014</v>
      </c>
      <c r="H34" s="70">
        <f t="shared" si="10"/>
        <v>0.93350400000000011</v>
      </c>
      <c r="I34" s="70">
        <f t="shared" si="10"/>
        <v>0</v>
      </c>
      <c r="J34" s="70">
        <f t="shared" si="10"/>
        <v>0</v>
      </c>
      <c r="K34" s="70">
        <f t="shared" si="10"/>
        <v>0</v>
      </c>
      <c r="L34" s="70">
        <f t="shared" si="10"/>
        <v>0</v>
      </c>
      <c r="M34" s="70">
        <f t="shared" si="10"/>
        <v>0</v>
      </c>
      <c r="N34" s="70">
        <f t="shared" si="10"/>
        <v>0</v>
      </c>
    </row>
    <row r="35" spans="1:14" x14ac:dyDescent="0.2">
      <c r="B35" s="60" t="s">
        <v>44</v>
      </c>
      <c r="C35" s="70">
        <f t="shared" ref="C35:N35" si="11">+C$10*C21</f>
        <v>0</v>
      </c>
      <c r="D35" s="70">
        <f t="shared" si="11"/>
        <v>0</v>
      </c>
      <c r="E35" s="70">
        <f t="shared" si="11"/>
        <v>0</v>
      </c>
      <c r="F35" s="70">
        <f t="shared" si="11"/>
        <v>0</v>
      </c>
      <c r="G35" s="70">
        <f t="shared" si="11"/>
        <v>0</v>
      </c>
      <c r="H35" s="70">
        <f t="shared" si="11"/>
        <v>0</v>
      </c>
      <c r="I35" s="70">
        <f t="shared" si="11"/>
        <v>0</v>
      </c>
      <c r="J35" s="70">
        <f t="shared" si="11"/>
        <v>0</v>
      </c>
      <c r="K35" s="70">
        <f t="shared" si="11"/>
        <v>0</v>
      </c>
      <c r="L35" s="70">
        <f t="shared" si="11"/>
        <v>0</v>
      </c>
      <c r="M35" s="70">
        <f t="shared" si="11"/>
        <v>0</v>
      </c>
      <c r="N35" s="70">
        <f t="shared" si="11"/>
        <v>0</v>
      </c>
    </row>
    <row r="36" spans="1:14" x14ac:dyDescent="0.2">
      <c r="B36" s="60" t="s">
        <v>45</v>
      </c>
      <c r="C36" s="70">
        <f t="shared" ref="C36:N36" si="12">+C$10*C22</f>
        <v>0.54378100000000118</v>
      </c>
      <c r="D36" s="70">
        <f t="shared" si="12"/>
        <v>0.5319210000000012</v>
      </c>
      <c r="E36" s="70">
        <f t="shared" si="12"/>
        <v>0.32437100000000069</v>
      </c>
      <c r="F36" s="70">
        <f t="shared" si="12"/>
        <v>0.31488300000000069</v>
      </c>
      <c r="G36" s="70">
        <f t="shared" si="12"/>
        <v>0.29531400000000069</v>
      </c>
      <c r="H36" s="70">
        <f t="shared" si="12"/>
        <v>0.31310400000000072</v>
      </c>
      <c r="I36" s="70">
        <f t="shared" si="12"/>
        <v>0</v>
      </c>
      <c r="J36" s="70">
        <f t="shared" si="12"/>
        <v>0</v>
      </c>
      <c r="K36" s="70">
        <f t="shared" si="12"/>
        <v>0</v>
      </c>
      <c r="L36" s="70">
        <f t="shared" si="12"/>
        <v>0</v>
      </c>
      <c r="M36" s="70">
        <f t="shared" si="12"/>
        <v>0</v>
      </c>
      <c r="N36" s="70">
        <f t="shared" si="12"/>
        <v>0</v>
      </c>
    </row>
    <row r="37" spans="1:14" x14ac:dyDescent="0.2">
      <c r="B37" s="60" t="s">
        <v>46</v>
      </c>
      <c r="C37" s="87">
        <f t="shared" ref="C37:N37" si="13">+C$10*C23</f>
        <v>4.7390560000000006</v>
      </c>
      <c r="D37" s="87">
        <f t="shared" si="13"/>
        <v>4.6356960000000003</v>
      </c>
      <c r="E37" s="87">
        <f t="shared" si="13"/>
        <v>2.8268960000000001</v>
      </c>
      <c r="F37" s="87">
        <f t="shared" si="13"/>
        <v>2.744208</v>
      </c>
      <c r="G37" s="87">
        <f t="shared" si="13"/>
        <v>2.5736640000000004</v>
      </c>
      <c r="H37" s="87">
        <f t="shared" si="13"/>
        <v>2.7287040000000005</v>
      </c>
      <c r="I37" s="87">
        <f t="shared" si="13"/>
        <v>0</v>
      </c>
      <c r="J37" s="87">
        <f t="shared" si="13"/>
        <v>0</v>
      </c>
      <c r="K37" s="87">
        <f t="shared" si="13"/>
        <v>0</v>
      </c>
      <c r="L37" s="87">
        <f t="shared" si="13"/>
        <v>0</v>
      </c>
      <c r="M37" s="87">
        <f t="shared" si="13"/>
        <v>0</v>
      </c>
      <c r="N37" s="87">
        <f t="shared" si="13"/>
        <v>0</v>
      </c>
    </row>
    <row r="38" spans="1:14" x14ac:dyDescent="0.2">
      <c r="C38" s="70">
        <f t="shared" ref="C38:N38" si="14">SUM(C27:C37)</f>
        <v>9.1700000000000017</v>
      </c>
      <c r="D38" s="70">
        <f t="shared" si="14"/>
        <v>8.9700000000000024</v>
      </c>
      <c r="E38" s="70">
        <f t="shared" si="14"/>
        <v>5.4700000000000006</v>
      </c>
      <c r="F38" s="70">
        <f t="shared" si="14"/>
        <v>5.3100000000000005</v>
      </c>
      <c r="G38" s="70">
        <f t="shared" si="14"/>
        <v>4.9800000000000013</v>
      </c>
      <c r="H38" s="70">
        <f t="shared" si="14"/>
        <v>5.2800000000000011</v>
      </c>
      <c r="I38" s="70">
        <f t="shared" si="14"/>
        <v>0</v>
      </c>
      <c r="J38" s="70">
        <f t="shared" si="14"/>
        <v>0</v>
      </c>
      <c r="K38" s="70">
        <f t="shared" si="14"/>
        <v>0</v>
      </c>
      <c r="L38" s="70">
        <f t="shared" si="14"/>
        <v>0</v>
      </c>
      <c r="M38" s="70">
        <f t="shared" si="14"/>
        <v>0</v>
      </c>
      <c r="N38" s="70">
        <f t="shared" si="14"/>
        <v>0</v>
      </c>
    </row>
    <row r="40" spans="1:14" x14ac:dyDescent="0.2">
      <c r="A40" s="134" t="s">
        <v>48</v>
      </c>
    </row>
    <row r="41" spans="1:14" x14ac:dyDescent="0.2">
      <c r="B41" s="60" t="s">
        <v>24</v>
      </c>
      <c r="C41" s="175">
        <v>1</v>
      </c>
      <c r="D41" s="94">
        <v>1</v>
      </c>
      <c r="E41" s="94">
        <v>1</v>
      </c>
      <c r="F41" s="94">
        <v>1</v>
      </c>
      <c r="G41" s="94">
        <v>1</v>
      </c>
      <c r="H41" s="94">
        <v>1</v>
      </c>
      <c r="I41" s="94">
        <v>1</v>
      </c>
      <c r="J41" s="94">
        <v>1</v>
      </c>
      <c r="K41" s="94">
        <v>1</v>
      </c>
      <c r="L41" s="94">
        <v>1</v>
      </c>
      <c r="M41" s="94">
        <v>1</v>
      </c>
      <c r="N41" s="94">
        <v>1</v>
      </c>
    </row>
    <row r="42" spans="1:14" x14ac:dyDescent="0.2">
      <c r="B42" s="60" t="s">
        <v>28</v>
      </c>
      <c r="C42" s="175">
        <v>1</v>
      </c>
      <c r="D42" s="94">
        <v>1</v>
      </c>
      <c r="E42" s="94">
        <v>1</v>
      </c>
      <c r="F42" s="94">
        <v>1</v>
      </c>
      <c r="G42" s="94">
        <v>1</v>
      </c>
      <c r="H42" s="94">
        <v>1</v>
      </c>
      <c r="I42" s="94">
        <v>1</v>
      </c>
      <c r="J42" s="94">
        <v>1</v>
      </c>
      <c r="K42" s="94">
        <v>1</v>
      </c>
      <c r="L42" s="94">
        <v>1</v>
      </c>
      <c r="M42" s="94">
        <v>1</v>
      </c>
      <c r="N42" s="94">
        <v>1</v>
      </c>
    </row>
    <row r="43" spans="1:14" x14ac:dyDescent="0.2">
      <c r="B43" s="60" t="s">
        <v>39</v>
      </c>
      <c r="C43" s="175">
        <v>1</v>
      </c>
      <c r="D43" s="94">
        <v>1</v>
      </c>
      <c r="E43" s="94">
        <v>1</v>
      </c>
      <c r="F43" s="94">
        <v>1</v>
      </c>
      <c r="G43" s="94">
        <v>1</v>
      </c>
      <c r="H43" s="94">
        <v>1</v>
      </c>
      <c r="I43" s="94">
        <v>1</v>
      </c>
      <c r="J43" s="94">
        <v>1</v>
      </c>
      <c r="K43" s="94">
        <v>1</v>
      </c>
      <c r="L43" s="94">
        <v>1</v>
      </c>
      <c r="M43" s="94">
        <v>1</v>
      </c>
      <c r="N43" s="94">
        <v>1</v>
      </c>
    </row>
    <row r="44" spans="1:14" x14ac:dyDescent="0.2">
      <c r="B44" s="60" t="s">
        <v>40</v>
      </c>
      <c r="C44" s="175">
        <v>1</v>
      </c>
      <c r="D44" s="94">
        <v>1</v>
      </c>
      <c r="E44" s="94">
        <v>1</v>
      </c>
      <c r="F44" s="94">
        <v>1</v>
      </c>
      <c r="G44" s="94">
        <v>1</v>
      </c>
      <c r="H44" s="94">
        <v>1</v>
      </c>
      <c r="I44" s="94">
        <v>1</v>
      </c>
      <c r="J44" s="94">
        <v>1</v>
      </c>
      <c r="K44" s="94">
        <v>1</v>
      </c>
      <c r="L44" s="94">
        <v>1</v>
      </c>
      <c r="M44" s="94">
        <v>1</v>
      </c>
      <c r="N44" s="94">
        <v>1</v>
      </c>
    </row>
    <row r="45" spans="1:14" x14ac:dyDescent="0.2">
      <c r="B45" s="60" t="s">
        <v>41</v>
      </c>
      <c r="C45" s="175">
        <v>1</v>
      </c>
      <c r="D45" s="94">
        <v>1</v>
      </c>
      <c r="E45" s="94">
        <v>1</v>
      </c>
      <c r="F45" s="94">
        <v>1</v>
      </c>
      <c r="G45" s="94">
        <v>1</v>
      </c>
      <c r="H45" s="94">
        <v>1</v>
      </c>
      <c r="I45" s="94">
        <v>1</v>
      </c>
      <c r="J45" s="94">
        <v>1</v>
      </c>
      <c r="K45" s="94">
        <v>1</v>
      </c>
      <c r="L45" s="94">
        <v>1</v>
      </c>
      <c r="M45" s="94">
        <v>1</v>
      </c>
      <c r="N45" s="94">
        <v>1</v>
      </c>
    </row>
    <row r="46" spans="1:14" x14ac:dyDescent="0.2">
      <c r="B46" s="60" t="s">
        <v>42</v>
      </c>
      <c r="C46" s="175">
        <v>1</v>
      </c>
      <c r="D46" s="94">
        <v>1</v>
      </c>
      <c r="E46" s="94">
        <v>1</v>
      </c>
      <c r="F46" s="94">
        <v>1</v>
      </c>
      <c r="G46" s="94">
        <v>1</v>
      </c>
      <c r="H46" s="94">
        <v>1</v>
      </c>
      <c r="I46" s="94">
        <v>1</v>
      </c>
      <c r="J46" s="94">
        <v>1</v>
      </c>
      <c r="K46" s="94">
        <v>1</v>
      </c>
      <c r="L46" s="94">
        <v>1</v>
      </c>
      <c r="M46" s="94">
        <v>1</v>
      </c>
      <c r="N46" s="94">
        <v>1</v>
      </c>
    </row>
    <row r="47" spans="1:14" x14ac:dyDescent="0.2">
      <c r="B47" s="60" t="s">
        <v>43</v>
      </c>
      <c r="C47" s="175">
        <v>1</v>
      </c>
      <c r="D47" s="94">
        <v>1</v>
      </c>
      <c r="E47" s="94">
        <v>1</v>
      </c>
      <c r="F47" s="94">
        <v>1</v>
      </c>
      <c r="G47" s="94">
        <v>1</v>
      </c>
      <c r="H47" s="94">
        <v>1</v>
      </c>
      <c r="I47" s="94">
        <v>1</v>
      </c>
      <c r="J47" s="94">
        <v>1</v>
      </c>
      <c r="K47" s="94">
        <v>1</v>
      </c>
      <c r="L47" s="94">
        <v>1</v>
      </c>
      <c r="M47" s="94">
        <v>1</v>
      </c>
      <c r="N47" s="94">
        <v>1</v>
      </c>
    </row>
    <row r="48" spans="1:14" x14ac:dyDescent="0.2">
      <c r="B48" s="60" t="s">
        <v>22</v>
      </c>
      <c r="C48" s="175">
        <v>1</v>
      </c>
      <c r="D48" s="94">
        <v>1</v>
      </c>
      <c r="E48" s="94">
        <v>1</v>
      </c>
      <c r="F48" s="94">
        <v>1</v>
      </c>
      <c r="G48" s="94">
        <v>1</v>
      </c>
      <c r="H48" s="94">
        <v>1</v>
      </c>
      <c r="I48" s="94">
        <v>1</v>
      </c>
      <c r="J48" s="94">
        <v>1</v>
      </c>
      <c r="K48" s="94">
        <v>1</v>
      </c>
      <c r="L48" s="94">
        <v>1</v>
      </c>
      <c r="M48" s="94">
        <v>1</v>
      </c>
      <c r="N48" s="94">
        <v>1</v>
      </c>
    </row>
    <row r="49" spans="1:14" x14ac:dyDescent="0.2">
      <c r="B49" s="60" t="s">
        <v>44</v>
      </c>
      <c r="C49" s="175">
        <v>1</v>
      </c>
      <c r="D49" s="94">
        <v>1</v>
      </c>
      <c r="E49" s="94">
        <v>1</v>
      </c>
      <c r="F49" s="94">
        <v>1</v>
      </c>
      <c r="G49" s="94">
        <v>1</v>
      </c>
      <c r="H49" s="94">
        <v>1</v>
      </c>
      <c r="I49" s="94">
        <v>1</v>
      </c>
      <c r="J49" s="94">
        <v>1</v>
      </c>
      <c r="K49" s="94">
        <v>1</v>
      </c>
      <c r="L49" s="94">
        <v>1</v>
      </c>
      <c r="M49" s="94">
        <v>1</v>
      </c>
      <c r="N49" s="94">
        <v>1</v>
      </c>
    </row>
    <row r="50" spans="1:14" x14ac:dyDescent="0.2">
      <c r="B50" s="60" t="s">
        <v>45</v>
      </c>
      <c r="C50" s="175">
        <v>1</v>
      </c>
      <c r="D50" s="94">
        <v>1</v>
      </c>
      <c r="E50" s="94">
        <v>1</v>
      </c>
      <c r="F50" s="94">
        <v>1</v>
      </c>
      <c r="G50" s="94">
        <v>1</v>
      </c>
      <c r="H50" s="94">
        <v>1</v>
      </c>
      <c r="I50" s="94">
        <v>1</v>
      </c>
      <c r="J50" s="94">
        <v>1</v>
      </c>
      <c r="K50" s="94">
        <v>1</v>
      </c>
      <c r="L50" s="94">
        <v>1</v>
      </c>
      <c r="M50" s="94">
        <v>1</v>
      </c>
      <c r="N50" s="94">
        <v>1</v>
      </c>
    </row>
    <row r="51" spans="1:14" ht="14.25" customHeight="1" x14ac:dyDescent="0.2">
      <c r="C51" s="92"/>
      <c r="D51" s="94"/>
      <c r="E51" s="94"/>
      <c r="F51" s="94"/>
      <c r="G51" s="94"/>
      <c r="H51" s="94"/>
      <c r="I51" s="94"/>
      <c r="J51" s="94"/>
      <c r="K51" s="94"/>
      <c r="L51" s="94"/>
      <c r="M51" s="94"/>
      <c r="N51" s="94"/>
    </row>
    <row r="52" spans="1:14" x14ac:dyDescent="0.2">
      <c r="A52" s="60" t="s">
        <v>46</v>
      </c>
      <c r="C52" s="92">
        <f>+C65/C37</f>
        <v>0.99999999999999967</v>
      </c>
      <c r="D52" s="94">
        <v>1</v>
      </c>
      <c r="E52" s="94">
        <v>1</v>
      </c>
      <c r="F52" s="94">
        <v>1</v>
      </c>
      <c r="G52" s="94">
        <v>1</v>
      </c>
      <c r="H52" s="94">
        <v>1</v>
      </c>
      <c r="I52" s="94">
        <v>1</v>
      </c>
      <c r="J52" s="94">
        <v>1</v>
      </c>
      <c r="K52" s="94">
        <v>1</v>
      </c>
      <c r="L52" s="94">
        <v>1</v>
      </c>
      <c r="M52" s="94">
        <v>1</v>
      </c>
      <c r="N52" s="94">
        <v>1</v>
      </c>
    </row>
    <row r="53" spans="1:14" x14ac:dyDescent="0.2">
      <c r="L53" s="92"/>
      <c r="N53" s="94"/>
    </row>
    <row r="54" spans="1:14" x14ac:dyDescent="0.2">
      <c r="A54" s="134" t="s">
        <v>49</v>
      </c>
      <c r="L54" s="92"/>
      <c r="N54" s="94"/>
    </row>
    <row r="55" spans="1:14" x14ac:dyDescent="0.2">
      <c r="B55" s="60" t="s">
        <v>24</v>
      </c>
      <c r="C55" s="70">
        <f t="shared" ref="C55:N55" si="15">+C27*C41</f>
        <v>0</v>
      </c>
      <c r="D55" s="70">
        <f t="shared" si="15"/>
        <v>0</v>
      </c>
      <c r="E55" s="70">
        <f t="shared" si="15"/>
        <v>0</v>
      </c>
      <c r="F55" s="70">
        <f t="shared" si="15"/>
        <v>0</v>
      </c>
      <c r="G55" s="70">
        <f t="shared" si="15"/>
        <v>0</v>
      </c>
      <c r="H55" s="70">
        <f t="shared" si="15"/>
        <v>0</v>
      </c>
      <c r="I55" s="70">
        <f t="shared" si="15"/>
        <v>0</v>
      </c>
      <c r="J55" s="70">
        <f t="shared" si="15"/>
        <v>0</v>
      </c>
      <c r="K55" s="70">
        <f t="shared" si="15"/>
        <v>0</v>
      </c>
      <c r="L55" s="70">
        <f t="shared" si="15"/>
        <v>0</v>
      </c>
      <c r="M55" s="70">
        <f t="shared" si="15"/>
        <v>0</v>
      </c>
      <c r="N55" s="70">
        <f t="shared" si="15"/>
        <v>0</v>
      </c>
    </row>
    <row r="56" spans="1:14" x14ac:dyDescent="0.2">
      <c r="B56" s="60" t="s">
        <v>28</v>
      </c>
      <c r="C56" s="70">
        <f t="shared" ref="C56:N56" si="16">+C28*C42</f>
        <v>1.6340939999999999</v>
      </c>
      <c r="D56" s="70">
        <f t="shared" si="16"/>
        <v>1.598454</v>
      </c>
      <c r="E56" s="70">
        <f t="shared" si="16"/>
        <v>0.9747539999999999</v>
      </c>
      <c r="F56" s="70">
        <f t="shared" si="16"/>
        <v>0.94624199999999992</v>
      </c>
      <c r="G56" s="70">
        <f t="shared" si="16"/>
        <v>0.88743600000000011</v>
      </c>
      <c r="H56" s="70">
        <f t="shared" si="16"/>
        <v>0.94089600000000007</v>
      </c>
      <c r="I56" s="70">
        <f t="shared" si="16"/>
        <v>0</v>
      </c>
      <c r="J56" s="70">
        <f t="shared" si="16"/>
        <v>0</v>
      </c>
      <c r="K56" s="70">
        <f t="shared" si="16"/>
        <v>0</v>
      </c>
      <c r="L56" s="70">
        <f t="shared" si="16"/>
        <v>0</v>
      </c>
      <c r="M56" s="70">
        <f t="shared" si="16"/>
        <v>0</v>
      </c>
      <c r="N56" s="70">
        <f t="shared" si="16"/>
        <v>0</v>
      </c>
    </row>
    <row r="57" spans="1:14" x14ac:dyDescent="0.2">
      <c r="B57" s="60" t="s">
        <v>39</v>
      </c>
      <c r="C57" s="70">
        <f t="shared" ref="C57:N57" si="17">+C29*C43</f>
        <v>0</v>
      </c>
      <c r="D57" s="70">
        <f t="shared" si="17"/>
        <v>0</v>
      </c>
      <c r="E57" s="70">
        <f t="shared" si="17"/>
        <v>0</v>
      </c>
      <c r="F57" s="70">
        <f t="shared" si="17"/>
        <v>0</v>
      </c>
      <c r="G57" s="70">
        <f t="shared" si="17"/>
        <v>0</v>
      </c>
      <c r="H57" s="70">
        <f t="shared" si="17"/>
        <v>0</v>
      </c>
      <c r="I57" s="70">
        <f t="shared" si="17"/>
        <v>0</v>
      </c>
      <c r="J57" s="70">
        <f t="shared" si="17"/>
        <v>0</v>
      </c>
      <c r="K57" s="70">
        <f t="shared" si="17"/>
        <v>0</v>
      </c>
      <c r="L57" s="70">
        <f t="shared" si="17"/>
        <v>0</v>
      </c>
      <c r="M57" s="70">
        <f t="shared" si="17"/>
        <v>0</v>
      </c>
      <c r="N57" s="70">
        <f t="shared" si="17"/>
        <v>0</v>
      </c>
    </row>
    <row r="58" spans="1:14" x14ac:dyDescent="0.2">
      <c r="B58" s="60" t="s">
        <v>40</v>
      </c>
      <c r="C58" s="70">
        <f t="shared" ref="C58:N58" si="18">+C30*C44</f>
        <v>0.151305</v>
      </c>
      <c r="D58" s="70">
        <f t="shared" si="18"/>
        <v>0.14800500000000003</v>
      </c>
      <c r="E58" s="70">
        <f t="shared" si="18"/>
        <v>9.0255000000000002E-2</v>
      </c>
      <c r="F58" s="70">
        <f t="shared" si="18"/>
        <v>8.7614999999999998E-2</v>
      </c>
      <c r="G58" s="70">
        <f t="shared" si="18"/>
        <v>8.2170000000000007E-2</v>
      </c>
      <c r="H58" s="70">
        <f t="shared" si="18"/>
        <v>8.7120000000000003E-2</v>
      </c>
      <c r="I58" s="70">
        <f t="shared" si="18"/>
        <v>0</v>
      </c>
      <c r="J58" s="70">
        <f t="shared" si="18"/>
        <v>0</v>
      </c>
      <c r="K58" s="70">
        <f t="shared" si="18"/>
        <v>0</v>
      </c>
      <c r="L58" s="70">
        <f t="shared" si="18"/>
        <v>0</v>
      </c>
      <c r="M58" s="70">
        <f t="shared" si="18"/>
        <v>0</v>
      </c>
      <c r="N58" s="70">
        <f t="shared" si="18"/>
        <v>0</v>
      </c>
    </row>
    <row r="59" spans="1:14" x14ac:dyDescent="0.2">
      <c r="B59" s="60" t="s">
        <v>41</v>
      </c>
      <c r="C59" s="70">
        <f t="shared" ref="C59:N59" si="19">+C31*C45</f>
        <v>0.41173300000000002</v>
      </c>
      <c r="D59" s="70">
        <f t="shared" si="19"/>
        <v>0.40275300000000003</v>
      </c>
      <c r="E59" s="70">
        <f t="shared" si="19"/>
        <v>0.24560300000000002</v>
      </c>
      <c r="F59" s="70">
        <f t="shared" si="19"/>
        <v>0.23841899999999999</v>
      </c>
      <c r="G59" s="70">
        <f t="shared" si="19"/>
        <v>0.22360200000000002</v>
      </c>
      <c r="H59" s="70">
        <f t="shared" si="19"/>
        <v>0.23707200000000003</v>
      </c>
      <c r="I59" s="70">
        <f t="shared" si="19"/>
        <v>0</v>
      </c>
      <c r="J59" s="70">
        <f t="shared" si="19"/>
        <v>0</v>
      </c>
      <c r="K59" s="70">
        <f t="shared" si="19"/>
        <v>0</v>
      </c>
      <c r="L59" s="70">
        <f t="shared" si="19"/>
        <v>0</v>
      </c>
      <c r="M59" s="70">
        <f t="shared" si="19"/>
        <v>0</v>
      </c>
      <c r="N59" s="70">
        <f t="shared" si="19"/>
        <v>0</v>
      </c>
    </row>
    <row r="60" spans="1:14" x14ac:dyDescent="0.2">
      <c r="B60" s="60" t="s">
        <v>42</v>
      </c>
      <c r="C60" s="95">
        <f t="shared" ref="C60:N60" si="20">+C32*C46</f>
        <v>6.8775000000000003E-2</v>
      </c>
      <c r="D60" s="95">
        <f t="shared" si="20"/>
        <v>6.7275000000000001E-2</v>
      </c>
      <c r="E60" s="95">
        <f t="shared" si="20"/>
        <v>4.1024999999999999E-2</v>
      </c>
      <c r="F60" s="95">
        <f t="shared" si="20"/>
        <v>3.9824999999999992E-2</v>
      </c>
      <c r="G60" s="95">
        <f t="shared" si="20"/>
        <v>3.7350000000000001E-2</v>
      </c>
      <c r="H60" s="95">
        <f t="shared" si="20"/>
        <v>3.9600000000000003E-2</v>
      </c>
      <c r="I60" s="95">
        <f t="shared" si="20"/>
        <v>0</v>
      </c>
      <c r="J60" s="95">
        <f t="shared" si="20"/>
        <v>0</v>
      </c>
      <c r="K60" s="95">
        <f t="shared" si="20"/>
        <v>0</v>
      </c>
      <c r="L60" s="95">
        <f t="shared" si="20"/>
        <v>0</v>
      </c>
      <c r="M60" s="95">
        <f t="shared" si="20"/>
        <v>0</v>
      </c>
      <c r="N60" s="95">
        <f t="shared" si="20"/>
        <v>0</v>
      </c>
    </row>
    <row r="61" spans="1:14" x14ac:dyDescent="0.2">
      <c r="B61" s="60" t="s">
        <v>43</v>
      </c>
      <c r="C61" s="70">
        <f t="shared" ref="C61:N61" si="21">+C33*C47</f>
        <v>0</v>
      </c>
      <c r="D61" s="70">
        <f t="shared" si="21"/>
        <v>0</v>
      </c>
      <c r="E61" s="70">
        <f t="shared" si="21"/>
        <v>0</v>
      </c>
      <c r="F61" s="70">
        <f t="shared" si="21"/>
        <v>0</v>
      </c>
      <c r="G61" s="70">
        <f t="shared" si="21"/>
        <v>0</v>
      </c>
      <c r="H61" s="70">
        <f t="shared" si="21"/>
        <v>0</v>
      </c>
      <c r="I61" s="70">
        <f t="shared" si="21"/>
        <v>0</v>
      </c>
      <c r="J61" s="70">
        <f t="shared" si="21"/>
        <v>0</v>
      </c>
      <c r="K61" s="70">
        <f t="shared" si="21"/>
        <v>0</v>
      </c>
      <c r="L61" s="70">
        <f t="shared" si="21"/>
        <v>0</v>
      </c>
      <c r="M61" s="70">
        <f t="shared" si="21"/>
        <v>0</v>
      </c>
      <c r="N61" s="70">
        <f t="shared" si="21"/>
        <v>0</v>
      </c>
    </row>
    <row r="62" spans="1:14" x14ac:dyDescent="0.2">
      <c r="B62" s="60" t="s">
        <v>36</v>
      </c>
      <c r="C62" s="70">
        <f t="shared" ref="C62:N62" si="22">+C34*C48</f>
        <v>1.621256</v>
      </c>
      <c r="D62" s="70">
        <f t="shared" si="22"/>
        <v>1.5858960000000002</v>
      </c>
      <c r="E62" s="70">
        <f t="shared" si="22"/>
        <v>0.96709600000000007</v>
      </c>
      <c r="F62" s="70">
        <f t="shared" si="22"/>
        <v>0.93880799999999998</v>
      </c>
      <c r="G62" s="70">
        <f t="shared" si="22"/>
        <v>0.88046400000000014</v>
      </c>
      <c r="H62" s="70">
        <f t="shared" si="22"/>
        <v>0.93350400000000011</v>
      </c>
      <c r="I62" s="70">
        <f t="shared" si="22"/>
        <v>0</v>
      </c>
      <c r="J62" s="70">
        <f t="shared" si="22"/>
        <v>0</v>
      </c>
      <c r="K62" s="70">
        <f t="shared" si="22"/>
        <v>0</v>
      </c>
      <c r="L62" s="70">
        <f t="shared" si="22"/>
        <v>0</v>
      </c>
      <c r="M62" s="70">
        <f t="shared" si="22"/>
        <v>0</v>
      </c>
      <c r="N62" s="70">
        <f t="shared" si="22"/>
        <v>0</v>
      </c>
    </row>
    <row r="63" spans="1:14" x14ac:dyDescent="0.2">
      <c r="B63" s="60" t="s">
        <v>44</v>
      </c>
      <c r="C63" s="70">
        <f t="shared" ref="C63:N63" si="23">+C35*C49</f>
        <v>0</v>
      </c>
      <c r="D63" s="70">
        <f t="shared" si="23"/>
        <v>0</v>
      </c>
      <c r="E63" s="70">
        <f t="shared" si="23"/>
        <v>0</v>
      </c>
      <c r="F63" s="70">
        <f t="shared" si="23"/>
        <v>0</v>
      </c>
      <c r="G63" s="70">
        <f t="shared" si="23"/>
        <v>0</v>
      </c>
      <c r="H63" s="70">
        <f t="shared" si="23"/>
        <v>0</v>
      </c>
      <c r="I63" s="70">
        <f t="shared" si="23"/>
        <v>0</v>
      </c>
      <c r="J63" s="70">
        <f t="shared" si="23"/>
        <v>0</v>
      </c>
      <c r="K63" s="70">
        <f t="shared" si="23"/>
        <v>0</v>
      </c>
      <c r="L63" s="70">
        <f t="shared" si="23"/>
        <v>0</v>
      </c>
      <c r="M63" s="70">
        <f t="shared" si="23"/>
        <v>0</v>
      </c>
      <c r="N63" s="70">
        <f t="shared" si="23"/>
        <v>0</v>
      </c>
    </row>
    <row r="64" spans="1:14" x14ac:dyDescent="0.2">
      <c r="B64" s="60" t="s">
        <v>45</v>
      </c>
      <c r="C64" s="70">
        <f t="shared" ref="C64:N64" si="24">+C36*C50</f>
        <v>0.54378100000000118</v>
      </c>
      <c r="D64" s="70">
        <f t="shared" si="24"/>
        <v>0.5319210000000012</v>
      </c>
      <c r="E64" s="70">
        <f t="shared" si="24"/>
        <v>0.32437100000000069</v>
      </c>
      <c r="F64" s="70">
        <f t="shared" si="24"/>
        <v>0.31488300000000069</v>
      </c>
      <c r="G64" s="70">
        <f t="shared" si="24"/>
        <v>0.29531400000000069</v>
      </c>
      <c r="H64" s="70">
        <f t="shared" si="24"/>
        <v>0.31310400000000072</v>
      </c>
      <c r="I64" s="70">
        <f t="shared" si="24"/>
        <v>0</v>
      </c>
      <c r="J64" s="70">
        <f t="shared" si="24"/>
        <v>0</v>
      </c>
      <c r="K64" s="70">
        <f t="shared" si="24"/>
        <v>0</v>
      </c>
      <c r="L64" s="70">
        <f t="shared" si="24"/>
        <v>0</v>
      </c>
      <c r="M64" s="70">
        <f t="shared" si="24"/>
        <v>0</v>
      </c>
      <c r="N64" s="70">
        <f t="shared" si="24"/>
        <v>0</v>
      </c>
    </row>
    <row r="65" spans="1:15" x14ac:dyDescent="0.2">
      <c r="B65" s="60" t="s">
        <v>46</v>
      </c>
      <c r="C65" s="87">
        <f t="shared" ref="C65:N65" si="25">+C7-SUM(C55:C64)</f>
        <v>4.7390559999999988</v>
      </c>
      <c r="D65" s="87">
        <f t="shared" si="25"/>
        <v>4.6356959999999994</v>
      </c>
      <c r="E65" s="87">
        <f t="shared" si="25"/>
        <v>2.8268959999999992</v>
      </c>
      <c r="F65" s="87">
        <f t="shared" si="25"/>
        <v>2.7442079999999995</v>
      </c>
      <c r="G65" s="87">
        <f t="shared" si="25"/>
        <v>2.5736639999999995</v>
      </c>
      <c r="H65" s="87">
        <f t="shared" si="25"/>
        <v>2.7287039999999996</v>
      </c>
      <c r="I65" s="87">
        <f t="shared" si="25"/>
        <v>0</v>
      </c>
      <c r="J65" s="87">
        <f t="shared" si="25"/>
        <v>0</v>
      </c>
      <c r="K65" s="87">
        <f t="shared" si="25"/>
        <v>0</v>
      </c>
      <c r="L65" s="87">
        <f t="shared" si="25"/>
        <v>0</v>
      </c>
      <c r="M65" s="87">
        <f t="shared" si="25"/>
        <v>0</v>
      </c>
      <c r="N65" s="87">
        <f t="shared" si="25"/>
        <v>0</v>
      </c>
    </row>
    <row r="66" spans="1:15" x14ac:dyDescent="0.2">
      <c r="C66" s="70">
        <f t="shared" ref="C66:N66" si="26">SUM(C55:C65)</f>
        <v>9.17</v>
      </c>
      <c r="D66" s="70">
        <f t="shared" si="26"/>
        <v>8.9700000000000006</v>
      </c>
      <c r="E66" s="70">
        <f t="shared" si="26"/>
        <v>5.47</v>
      </c>
      <c r="F66" s="70">
        <f t="shared" si="26"/>
        <v>5.31</v>
      </c>
      <c r="G66" s="70">
        <f t="shared" si="26"/>
        <v>4.9800000000000004</v>
      </c>
      <c r="H66" s="70">
        <f t="shared" si="26"/>
        <v>5.28</v>
      </c>
      <c r="I66" s="70">
        <f t="shared" si="26"/>
        <v>0</v>
      </c>
      <c r="J66" s="70">
        <f t="shared" si="26"/>
        <v>0</v>
      </c>
      <c r="K66" s="70">
        <f t="shared" si="26"/>
        <v>0</v>
      </c>
      <c r="L66" s="70">
        <f t="shared" si="26"/>
        <v>0</v>
      </c>
      <c r="M66" s="70">
        <f t="shared" si="26"/>
        <v>0</v>
      </c>
      <c r="N66" s="70">
        <f t="shared" si="26"/>
        <v>0</v>
      </c>
    </row>
    <row r="67" spans="1:15" ht="8.1" customHeight="1" x14ac:dyDescent="0.2"/>
    <row r="68" spans="1:15" x14ac:dyDescent="0.2">
      <c r="A68" s="176" t="s">
        <v>50</v>
      </c>
      <c r="C68" s="60">
        <v>1.1000000000000001</v>
      </c>
      <c r="E68" s="60" t="s">
        <v>96</v>
      </c>
    </row>
    <row r="69" spans="1:15" x14ac:dyDescent="0.2">
      <c r="B69" s="60" t="s">
        <v>24</v>
      </c>
      <c r="C69" s="365"/>
      <c r="D69" s="365"/>
      <c r="E69" s="365"/>
      <c r="F69" s="365"/>
      <c r="G69" s="366"/>
      <c r="H69" s="366"/>
      <c r="I69" s="365"/>
      <c r="J69" s="365"/>
      <c r="K69" s="365"/>
      <c r="L69" s="364"/>
      <c r="M69" s="364"/>
      <c r="N69" s="365"/>
    </row>
    <row r="70" spans="1:15" x14ac:dyDescent="0.2">
      <c r="B70" s="60" t="s">
        <v>28</v>
      </c>
      <c r="C70" s="365">
        <v>43.519999999999996</v>
      </c>
      <c r="D70" s="365">
        <v>60.11</v>
      </c>
      <c r="E70" s="365">
        <v>68.38</v>
      </c>
      <c r="F70" s="365">
        <v>60.64</v>
      </c>
      <c r="G70" s="366">
        <v>63.85</v>
      </c>
      <c r="H70" s="366">
        <v>71.680000000000007</v>
      </c>
      <c r="I70" s="365"/>
      <c r="J70" s="365"/>
      <c r="K70" s="365"/>
      <c r="L70" s="365"/>
      <c r="M70" s="365"/>
      <c r="N70" s="374"/>
    </row>
    <row r="71" spans="1:15" x14ac:dyDescent="0.2">
      <c r="B71" s="60" t="s">
        <v>39</v>
      </c>
      <c r="C71" s="365"/>
      <c r="D71" s="365"/>
      <c r="E71" s="365"/>
      <c r="F71" s="365"/>
      <c r="G71" s="366"/>
      <c r="H71" s="366"/>
      <c r="I71" s="365"/>
      <c r="J71" s="365"/>
      <c r="K71" s="365"/>
      <c r="L71" s="365"/>
      <c r="M71" s="365"/>
      <c r="N71" s="365"/>
    </row>
    <row r="72" spans="1:15" x14ac:dyDescent="0.2">
      <c r="B72" s="60" t="s">
        <v>40</v>
      </c>
      <c r="C72" s="365">
        <v>90.64</v>
      </c>
      <c r="D72" s="365">
        <v>93.07</v>
      </c>
      <c r="E72" s="365">
        <v>91.06</v>
      </c>
      <c r="F72" s="365">
        <v>61.85</v>
      </c>
      <c r="G72" s="366">
        <v>69.650000000000006</v>
      </c>
      <c r="H72" s="366">
        <v>78.180000000000007</v>
      </c>
      <c r="I72" s="365"/>
      <c r="J72" s="365"/>
      <c r="K72" s="365"/>
      <c r="L72" s="365"/>
      <c r="M72" s="365"/>
      <c r="N72" s="374"/>
    </row>
    <row r="73" spans="1:15" x14ac:dyDescent="0.2">
      <c r="B73" s="60" t="s">
        <v>41</v>
      </c>
      <c r="C73" s="365">
        <v>100.47</v>
      </c>
      <c r="D73" s="365">
        <v>87.96</v>
      </c>
      <c r="E73" s="365">
        <v>109.23</v>
      </c>
      <c r="F73" s="365">
        <v>168.5</v>
      </c>
      <c r="G73" s="366">
        <v>78.83</v>
      </c>
      <c r="H73" s="366">
        <v>75.260000000000005</v>
      </c>
      <c r="I73" s="365"/>
      <c r="J73" s="365"/>
      <c r="K73" s="365"/>
      <c r="L73" s="365"/>
      <c r="M73" s="365"/>
      <c r="N73" s="374"/>
    </row>
    <row r="74" spans="1:15" x14ac:dyDescent="0.2">
      <c r="B74" s="60" t="s">
        <v>42</v>
      </c>
      <c r="C74" s="365">
        <v>1082.8499999999999</v>
      </c>
      <c r="D74" s="365">
        <v>1119.26</v>
      </c>
      <c r="E74" s="365">
        <v>1065.1300000000001</v>
      </c>
      <c r="F74" s="365">
        <v>1065.1300000000001</v>
      </c>
      <c r="G74" s="366">
        <v>940.58</v>
      </c>
      <c r="H74" s="366">
        <v>918.23</v>
      </c>
      <c r="I74" s="365"/>
      <c r="J74" s="365"/>
      <c r="K74" s="365"/>
      <c r="L74" s="365"/>
      <c r="M74" s="365"/>
      <c r="N74" s="374"/>
    </row>
    <row r="75" spans="1:15" x14ac:dyDescent="0.2">
      <c r="B75" s="60" t="s">
        <v>43</v>
      </c>
      <c r="C75" s="365"/>
      <c r="D75" s="365"/>
      <c r="E75" s="365"/>
      <c r="F75" s="365"/>
      <c r="G75" s="366"/>
      <c r="H75" s="366"/>
      <c r="I75" s="365"/>
      <c r="J75" s="365"/>
      <c r="K75" s="365"/>
      <c r="L75" s="365"/>
      <c r="M75" s="365"/>
      <c r="N75" s="365"/>
    </row>
    <row r="76" spans="1:15" x14ac:dyDescent="0.2">
      <c r="B76" s="60" t="s">
        <v>36</v>
      </c>
      <c r="C76" s="365">
        <v>-25.26</v>
      </c>
      <c r="D76" s="365">
        <v>-19.13</v>
      </c>
      <c r="E76" s="365">
        <v>-3.5700000000000003</v>
      </c>
      <c r="F76" s="365">
        <v>0.74</v>
      </c>
      <c r="G76" s="366">
        <v>-14.63</v>
      </c>
      <c r="H76" s="366">
        <v>-16.670000000000002</v>
      </c>
      <c r="I76" s="365"/>
      <c r="J76" s="365"/>
      <c r="K76" s="365"/>
      <c r="L76" s="365"/>
      <c r="M76" s="365"/>
      <c r="N76" s="365"/>
    </row>
    <row r="77" spans="1:15" x14ac:dyDescent="0.2">
      <c r="B77" s="60" t="s">
        <v>44</v>
      </c>
      <c r="C77" s="364"/>
      <c r="D77" s="364"/>
      <c r="E77" s="364"/>
      <c r="F77" s="364"/>
      <c r="G77" s="367"/>
      <c r="H77" s="367"/>
      <c r="I77" s="364"/>
      <c r="J77" s="364"/>
      <c r="K77" s="364"/>
      <c r="L77" s="364"/>
      <c r="M77" s="364"/>
      <c r="N77" s="374"/>
    </row>
    <row r="78" spans="1:15" x14ac:dyDescent="0.2">
      <c r="B78" s="60" t="s">
        <v>45</v>
      </c>
      <c r="C78" s="364">
        <v>-134.59</v>
      </c>
      <c r="D78" s="364">
        <v>-134.59</v>
      </c>
      <c r="E78" s="364">
        <v>-134.59</v>
      </c>
      <c r="F78" s="364">
        <v>-134.59</v>
      </c>
      <c r="G78" s="367">
        <v>-134.59</v>
      </c>
      <c r="H78" s="367">
        <v>-134.59</v>
      </c>
      <c r="I78" s="364"/>
      <c r="J78" s="364"/>
      <c r="K78" s="364"/>
      <c r="L78" s="364"/>
      <c r="M78" s="364"/>
      <c r="N78" s="374"/>
    </row>
    <row r="79" spans="1:15" x14ac:dyDescent="0.2">
      <c r="B79" s="60" t="s">
        <v>46</v>
      </c>
      <c r="C79" s="365">
        <v>-14.309999999999999</v>
      </c>
      <c r="D79" s="365">
        <v>2</v>
      </c>
      <c r="E79" s="365">
        <v>4.1900000000000004</v>
      </c>
      <c r="F79" s="365">
        <v>8.42</v>
      </c>
      <c r="G79" s="366">
        <v>26.9</v>
      </c>
      <c r="H79" s="366">
        <v>25.77</v>
      </c>
      <c r="I79" s="365"/>
      <c r="J79" s="365"/>
      <c r="K79" s="365"/>
      <c r="L79" s="364"/>
      <c r="M79" s="364"/>
      <c r="N79" s="374"/>
      <c r="O79" s="102">
        <f>SUM(C69:N79)</f>
        <v>6830.9699999999975</v>
      </c>
    </row>
    <row r="80" spans="1:15" ht="8.1" customHeight="1" x14ac:dyDescent="0.2"/>
    <row r="81" spans="1:16" x14ac:dyDescent="0.2">
      <c r="A81" s="134" t="s">
        <v>51</v>
      </c>
    </row>
    <row r="82" spans="1:16" x14ac:dyDescent="0.2">
      <c r="B82" s="60" t="s">
        <v>24</v>
      </c>
      <c r="C82" s="73">
        <f t="shared" ref="C82:N82" si="27">+C69*C55</f>
        <v>0</v>
      </c>
      <c r="D82" s="70">
        <f t="shared" si="27"/>
        <v>0</v>
      </c>
      <c r="E82" s="70">
        <f t="shared" si="27"/>
        <v>0</v>
      </c>
      <c r="F82" s="70">
        <f t="shared" si="27"/>
        <v>0</v>
      </c>
      <c r="G82" s="70">
        <f t="shared" si="27"/>
        <v>0</v>
      </c>
      <c r="H82" s="70">
        <f t="shared" si="27"/>
        <v>0</v>
      </c>
      <c r="I82" s="70">
        <f t="shared" si="27"/>
        <v>0</v>
      </c>
      <c r="J82" s="70">
        <f t="shared" si="27"/>
        <v>0</v>
      </c>
      <c r="K82" s="70">
        <f t="shared" si="27"/>
        <v>0</v>
      </c>
      <c r="L82" s="70">
        <f t="shared" si="27"/>
        <v>0</v>
      </c>
      <c r="M82" s="70">
        <f t="shared" si="27"/>
        <v>0</v>
      </c>
      <c r="N82" s="70">
        <f t="shared" si="27"/>
        <v>0</v>
      </c>
      <c r="O82" s="102">
        <f t="shared" ref="O82:O93" si="28">SUM(C82:N82)</f>
        <v>0</v>
      </c>
    </row>
    <row r="83" spans="1:16" x14ac:dyDescent="0.2">
      <c r="B83" s="60" t="s">
        <v>28</v>
      </c>
      <c r="C83" s="73">
        <f t="shared" ref="C83:N83" si="29">+C70*C56</f>
        <v>71.115770879999985</v>
      </c>
      <c r="D83" s="70">
        <f t="shared" si="29"/>
        <v>96.083069940000001</v>
      </c>
      <c r="E83" s="70">
        <f t="shared" si="29"/>
        <v>66.653678519999985</v>
      </c>
      <c r="F83" s="70">
        <f t="shared" si="29"/>
        <v>57.380114879999994</v>
      </c>
      <c r="G83" s="70">
        <f t="shared" si="29"/>
        <v>56.662788600000006</v>
      </c>
      <c r="H83" s="70">
        <f t="shared" si="29"/>
        <v>67.443425280000014</v>
      </c>
      <c r="I83" s="70">
        <f t="shared" si="29"/>
        <v>0</v>
      </c>
      <c r="J83" s="70">
        <f t="shared" si="29"/>
        <v>0</v>
      </c>
      <c r="K83" s="70">
        <f t="shared" si="29"/>
        <v>0</v>
      </c>
      <c r="L83" s="70">
        <f t="shared" si="29"/>
        <v>0</v>
      </c>
      <c r="M83" s="70">
        <f t="shared" si="29"/>
        <v>0</v>
      </c>
      <c r="N83" s="70">
        <f t="shared" si="29"/>
        <v>0</v>
      </c>
      <c r="O83" s="102">
        <f t="shared" si="28"/>
        <v>415.33884809999995</v>
      </c>
    </row>
    <row r="84" spans="1:16" x14ac:dyDescent="0.2">
      <c r="B84" s="60" t="s">
        <v>39</v>
      </c>
      <c r="C84" s="73">
        <f t="shared" ref="C84:H92" si="30">+C71*C57</f>
        <v>0</v>
      </c>
      <c r="D84" s="70">
        <f t="shared" si="30"/>
        <v>0</v>
      </c>
      <c r="E84" s="70">
        <f t="shared" si="30"/>
        <v>0</v>
      </c>
      <c r="F84" s="70">
        <f t="shared" si="30"/>
        <v>0</v>
      </c>
      <c r="G84" s="70">
        <f t="shared" si="30"/>
        <v>0</v>
      </c>
      <c r="H84" s="70">
        <f t="shared" si="30"/>
        <v>0</v>
      </c>
      <c r="I84" s="70"/>
      <c r="J84" s="70">
        <f t="shared" ref="J84:N92" si="31">+J71*J57</f>
        <v>0</v>
      </c>
      <c r="K84" s="70">
        <f t="shared" si="31"/>
        <v>0</v>
      </c>
      <c r="L84" s="70">
        <f t="shared" si="31"/>
        <v>0</v>
      </c>
      <c r="M84" s="70">
        <f t="shared" si="31"/>
        <v>0</v>
      </c>
      <c r="N84" s="70">
        <f t="shared" si="31"/>
        <v>0</v>
      </c>
      <c r="O84" s="102">
        <f t="shared" si="28"/>
        <v>0</v>
      </c>
    </row>
    <row r="85" spans="1:16" x14ac:dyDescent="0.2">
      <c r="B85" s="60" t="s">
        <v>40</v>
      </c>
      <c r="C85" s="73">
        <f t="shared" si="30"/>
        <v>13.714285199999999</v>
      </c>
      <c r="D85" s="70">
        <f t="shared" si="30"/>
        <v>13.774825350000002</v>
      </c>
      <c r="E85" s="70">
        <f t="shared" si="30"/>
        <v>8.2186202999999995</v>
      </c>
      <c r="F85" s="70">
        <f t="shared" si="30"/>
        <v>5.4189877500000003</v>
      </c>
      <c r="G85" s="70">
        <f t="shared" si="30"/>
        <v>5.7231405000000013</v>
      </c>
      <c r="H85" s="70">
        <f t="shared" si="30"/>
        <v>6.8110416000000011</v>
      </c>
      <c r="I85" s="70">
        <f>+I72*I58</f>
        <v>0</v>
      </c>
      <c r="J85" s="70">
        <f t="shared" si="31"/>
        <v>0</v>
      </c>
      <c r="K85" s="70">
        <f t="shared" si="31"/>
        <v>0</v>
      </c>
      <c r="L85" s="70">
        <f t="shared" si="31"/>
        <v>0</v>
      </c>
      <c r="M85" s="70">
        <f t="shared" si="31"/>
        <v>0</v>
      </c>
      <c r="N85" s="70">
        <f t="shared" si="31"/>
        <v>0</v>
      </c>
      <c r="O85" s="102">
        <f t="shared" si="28"/>
        <v>53.660900699999999</v>
      </c>
    </row>
    <row r="86" spans="1:16" x14ac:dyDescent="0.2">
      <c r="B86" s="60" t="s">
        <v>41</v>
      </c>
      <c r="C86" s="73">
        <f t="shared" si="30"/>
        <v>41.366814510000005</v>
      </c>
      <c r="D86" s="70">
        <f t="shared" si="30"/>
        <v>35.426153880000001</v>
      </c>
      <c r="E86" s="70">
        <f t="shared" si="30"/>
        <v>26.827215690000003</v>
      </c>
      <c r="F86" s="70">
        <f t="shared" si="30"/>
        <v>40.173601499999997</v>
      </c>
      <c r="G86" s="70">
        <f t="shared" si="30"/>
        <v>17.626545660000001</v>
      </c>
      <c r="H86" s="70">
        <f t="shared" si="30"/>
        <v>17.842038720000005</v>
      </c>
      <c r="I86" s="70">
        <f>+I73*I59</f>
        <v>0</v>
      </c>
      <c r="J86" s="70">
        <f t="shared" si="31"/>
        <v>0</v>
      </c>
      <c r="K86" s="70">
        <f t="shared" si="31"/>
        <v>0</v>
      </c>
      <c r="L86" s="70">
        <f t="shared" si="31"/>
        <v>0</v>
      </c>
      <c r="M86" s="70">
        <f t="shared" si="31"/>
        <v>0</v>
      </c>
      <c r="N86" s="70">
        <f t="shared" si="31"/>
        <v>0</v>
      </c>
      <c r="O86" s="102">
        <f t="shared" si="28"/>
        <v>179.26236996</v>
      </c>
    </row>
    <row r="87" spans="1:16" x14ac:dyDescent="0.2">
      <c r="B87" s="60" t="s">
        <v>42</v>
      </c>
      <c r="C87" s="73">
        <f t="shared" si="30"/>
        <v>74.473008749999991</v>
      </c>
      <c r="D87" s="70">
        <f t="shared" si="30"/>
        <v>75.298216499999995</v>
      </c>
      <c r="E87" s="70">
        <f t="shared" si="30"/>
        <v>43.696958250000002</v>
      </c>
      <c r="F87" s="70">
        <f t="shared" si="30"/>
        <v>42.418802249999999</v>
      </c>
      <c r="G87" s="70">
        <f t="shared" si="30"/>
        <v>35.130663000000006</v>
      </c>
      <c r="H87" s="70">
        <f t="shared" si="30"/>
        <v>36.361908000000007</v>
      </c>
      <c r="I87" s="70">
        <f>+I74*I60</f>
        <v>0</v>
      </c>
      <c r="J87" s="70">
        <f t="shared" si="31"/>
        <v>0</v>
      </c>
      <c r="K87" s="70">
        <f t="shared" si="31"/>
        <v>0</v>
      </c>
      <c r="L87" s="70">
        <f t="shared" si="31"/>
        <v>0</v>
      </c>
      <c r="M87" s="70">
        <f t="shared" si="31"/>
        <v>0</v>
      </c>
      <c r="N87" s="70">
        <f t="shared" si="31"/>
        <v>0</v>
      </c>
      <c r="O87" s="102">
        <f t="shared" si="28"/>
        <v>307.37955675000001</v>
      </c>
    </row>
    <row r="88" spans="1:16" x14ac:dyDescent="0.2">
      <c r="B88" s="60" t="s">
        <v>43</v>
      </c>
      <c r="C88" s="73">
        <f t="shared" si="30"/>
        <v>0</v>
      </c>
      <c r="D88" s="70">
        <f t="shared" si="30"/>
        <v>0</v>
      </c>
      <c r="E88" s="70">
        <f t="shared" si="30"/>
        <v>0</v>
      </c>
      <c r="F88" s="70">
        <f t="shared" si="30"/>
        <v>0</v>
      </c>
      <c r="G88" s="70">
        <f t="shared" si="30"/>
        <v>0</v>
      </c>
      <c r="H88" s="70">
        <f t="shared" si="30"/>
        <v>0</v>
      </c>
      <c r="I88" s="70"/>
      <c r="J88" s="70">
        <f t="shared" si="31"/>
        <v>0</v>
      </c>
      <c r="K88" s="70">
        <f t="shared" si="31"/>
        <v>0</v>
      </c>
      <c r="L88" s="70">
        <f t="shared" si="31"/>
        <v>0</v>
      </c>
      <c r="M88" s="70">
        <f t="shared" si="31"/>
        <v>0</v>
      </c>
      <c r="N88" s="70">
        <f t="shared" si="31"/>
        <v>0</v>
      </c>
      <c r="O88" s="102">
        <f t="shared" si="28"/>
        <v>0</v>
      </c>
    </row>
    <row r="89" spans="1:16" x14ac:dyDescent="0.2">
      <c r="B89" s="60" t="s">
        <v>36</v>
      </c>
      <c r="C89" s="73">
        <f t="shared" si="30"/>
        <v>-40.952926560000002</v>
      </c>
      <c r="D89" s="70">
        <f t="shared" si="30"/>
        <v>-30.338190480000002</v>
      </c>
      <c r="E89" s="70">
        <f t="shared" si="30"/>
        <v>-3.4525327200000007</v>
      </c>
      <c r="F89" s="70">
        <f t="shared" si="30"/>
        <v>0.69471791999999999</v>
      </c>
      <c r="G89" s="70">
        <f t="shared" si="30"/>
        <v>-12.881188320000003</v>
      </c>
      <c r="H89" s="70">
        <f t="shared" si="30"/>
        <v>-15.561511680000004</v>
      </c>
      <c r="I89" s="70">
        <f>+I76*I62</f>
        <v>0</v>
      </c>
      <c r="J89" s="70">
        <f t="shared" si="31"/>
        <v>0</v>
      </c>
      <c r="K89" s="70">
        <f t="shared" si="31"/>
        <v>0</v>
      </c>
      <c r="L89" s="70">
        <f t="shared" si="31"/>
        <v>0</v>
      </c>
      <c r="M89" s="70">
        <f t="shared" si="31"/>
        <v>0</v>
      </c>
      <c r="N89" s="70">
        <f t="shared" si="31"/>
        <v>0</v>
      </c>
      <c r="O89" s="102">
        <f t="shared" si="28"/>
        <v>-102.49163184000003</v>
      </c>
    </row>
    <row r="90" spans="1:16" x14ac:dyDescent="0.2">
      <c r="B90" s="60" t="s">
        <v>44</v>
      </c>
      <c r="C90" s="73">
        <f t="shared" si="30"/>
        <v>0</v>
      </c>
      <c r="D90" s="70">
        <f t="shared" si="30"/>
        <v>0</v>
      </c>
      <c r="E90" s="70">
        <f t="shared" si="30"/>
        <v>0</v>
      </c>
      <c r="F90" s="70">
        <f t="shared" si="30"/>
        <v>0</v>
      </c>
      <c r="G90" s="70">
        <f t="shared" si="30"/>
        <v>0</v>
      </c>
      <c r="H90" s="70">
        <f t="shared" si="30"/>
        <v>0</v>
      </c>
      <c r="I90" s="70">
        <f>+I77*I63</f>
        <v>0</v>
      </c>
      <c r="J90" s="70">
        <f t="shared" si="31"/>
        <v>0</v>
      </c>
      <c r="K90" s="70">
        <f t="shared" si="31"/>
        <v>0</v>
      </c>
      <c r="L90" s="70">
        <f t="shared" si="31"/>
        <v>0</v>
      </c>
      <c r="M90" s="70">
        <f t="shared" si="31"/>
        <v>0</v>
      </c>
      <c r="N90" s="70">
        <f t="shared" si="31"/>
        <v>0</v>
      </c>
      <c r="O90" s="102">
        <f t="shared" si="28"/>
        <v>0</v>
      </c>
    </row>
    <row r="91" spans="1:16" x14ac:dyDescent="0.2">
      <c r="B91" s="60" t="s">
        <v>45</v>
      </c>
      <c r="C91" s="73">
        <f t="shared" si="30"/>
        <v>-73.187484790000155</v>
      </c>
      <c r="D91" s="70">
        <f t="shared" si="30"/>
        <v>-71.591247390000163</v>
      </c>
      <c r="E91" s="70">
        <f t="shared" si="30"/>
        <v>-43.657092890000094</v>
      </c>
      <c r="F91" s="70">
        <f t="shared" si="30"/>
        <v>-42.380102970000095</v>
      </c>
      <c r="G91" s="70">
        <f t="shared" si="30"/>
        <v>-39.746311260000091</v>
      </c>
      <c r="H91" s="70">
        <f t="shared" si="30"/>
        <v>-42.140667360000094</v>
      </c>
      <c r="I91" s="70">
        <f>+I78*I64</f>
        <v>0</v>
      </c>
      <c r="J91" s="70">
        <f t="shared" si="31"/>
        <v>0</v>
      </c>
      <c r="K91" s="70">
        <f t="shared" si="31"/>
        <v>0</v>
      </c>
      <c r="L91" s="70">
        <f t="shared" si="31"/>
        <v>0</v>
      </c>
      <c r="M91" s="70">
        <f t="shared" si="31"/>
        <v>0</v>
      </c>
      <c r="N91" s="70">
        <f t="shared" si="31"/>
        <v>0</v>
      </c>
      <c r="O91" s="102">
        <f t="shared" si="28"/>
        <v>-312.70290666000062</v>
      </c>
    </row>
    <row r="92" spans="1:16" x14ac:dyDescent="0.2">
      <c r="B92" s="60" t="s">
        <v>46</v>
      </c>
      <c r="C92" s="98">
        <f t="shared" si="30"/>
        <v>-67.815891359999981</v>
      </c>
      <c r="D92" s="87">
        <f t="shared" si="30"/>
        <v>9.2713919999999987</v>
      </c>
      <c r="E92" s="87">
        <f t="shared" si="30"/>
        <v>11.844694239999997</v>
      </c>
      <c r="F92" s="87">
        <f t="shared" si="30"/>
        <v>23.106231359999995</v>
      </c>
      <c r="G92" s="87">
        <f t="shared" si="30"/>
        <v>69.231561599999978</v>
      </c>
      <c r="H92" s="87">
        <f t="shared" si="30"/>
        <v>70.318702079999994</v>
      </c>
      <c r="I92" s="87">
        <f>+I79*I65</f>
        <v>0</v>
      </c>
      <c r="J92" s="87">
        <f t="shared" si="31"/>
        <v>0</v>
      </c>
      <c r="K92" s="70">
        <f t="shared" si="31"/>
        <v>0</v>
      </c>
      <c r="L92" s="70">
        <f t="shared" si="31"/>
        <v>0</v>
      </c>
      <c r="M92" s="70">
        <f t="shared" si="31"/>
        <v>0</v>
      </c>
      <c r="N92" s="70">
        <f t="shared" si="31"/>
        <v>0</v>
      </c>
      <c r="O92" s="102">
        <f t="shared" si="28"/>
        <v>115.95668991999997</v>
      </c>
    </row>
    <row r="93" spans="1:16" x14ac:dyDescent="0.2">
      <c r="A93" s="134" t="s">
        <v>52</v>
      </c>
      <c r="B93" s="134"/>
      <c r="C93" s="177">
        <f t="shared" ref="C93:N93" si="32">SUM(C82:C92)</f>
        <v>18.713576629999849</v>
      </c>
      <c r="D93" s="178">
        <f t="shared" si="32"/>
        <v>127.92421979999983</v>
      </c>
      <c r="E93" s="178">
        <f t="shared" si="32"/>
        <v>110.13154138999991</v>
      </c>
      <c r="F93" s="178">
        <f t="shared" si="32"/>
        <v>126.81235268999987</v>
      </c>
      <c r="G93" s="178">
        <f t="shared" si="32"/>
        <v>131.74719977999987</v>
      </c>
      <c r="H93" s="178">
        <f t="shared" si="32"/>
        <v>141.07493663999992</v>
      </c>
      <c r="I93" s="178">
        <f t="shared" si="32"/>
        <v>0</v>
      </c>
      <c r="J93" s="178">
        <f t="shared" si="32"/>
        <v>0</v>
      </c>
      <c r="K93" s="179">
        <f t="shared" si="32"/>
        <v>0</v>
      </c>
      <c r="L93" s="179">
        <f t="shared" si="32"/>
        <v>0</v>
      </c>
      <c r="M93" s="179">
        <f t="shared" si="32"/>
        <v>0</v>
      </c>
      <c r="N93" s="179">
        <f t="shared" si="32"/>
        <v>0</v>
      </c>
      <c r="O93" s="102">
        <f t="shared" si="28"/>
        <v>656.40382692999924</v>
      </c>
      <c r="P93" s="102">
        <f>O93/2</f>
        <v>328.20191346499962</v>
      </c>
    </row>
    <row r="94" spans="1:16" x14ac:dyDescent="0.2">
      <c r="A94" s="134" t="s">
        <v>53</v>
      </c>
      <c r="B94" s="134"/>
      <c r="C94" s="177">
        <f t="shared" ref="C94:N94" si="33">+C93/C66</f>
        <v>2.0407389999999834</v>
      </c>
      <c r="D94" s="178">
        <f t="shared" si="33"/>
        <v>14.261339999999981</v>
      </c>
      <c r="E94" s="178">
        <f t="shared" si="33"/>
        <v>20.133736999999986</v>
      </c>
      <c r="F94" s="178">
        <f t="shared" si="33"/>
        <v>23.881798999999976</v>
      </c>
      <c r="G94" s="178">
        <f t="shared" si="33"/>
        <v>26.455260999999972</v>
      </c>
      <c r="H94" s="178">
        <f t="shared" si="33"/>
        <v>26.718737999999984</v>
      </c>
      <c r="I94" s="178" t="e">
        <f t="shared" si="33"/>
        <v>#DIV/0!</v>
      </c>
      <c r="J94" s="178" t="e">
        <f t="shared" si="33"/>
        <v>#DIV/0!</v>
      </c>
      <c r="K94" s="180" t="e">
        <f t="shared" si="33"/>
        <v>#DIV/0!</v>
      </c>
      <c r="L94" s="180" t="e">
        <f t="shared" si="33"/>
        <v>#DIV/0!</v>
      </c>
      <c r="M94" s="180" t="e">
        <f t="shared" si="33"/>
        <v>#DIV/0!</v>
      </c>
      <c r="N94" s="180" t="e">
        <f t="shared" si="33"/>
        <v>#DIV/0!</v>
      </c>
      <c r="O94" s="102"/>
    </row>
    <row r="95" spans="1:16" ht="8.1" customHeight="1" x14ac:dyDescent="0.2"/>
    <row r="96" spans="1:16" x14ac:dyDescent="0.2">
      <c r="A96" s="134"/>
      <c r="C96" s="102"/>
      <c r="D96" s="102"/>
      <c r="E96" s="102"/>
      <c r="F96" s="102"/>
      <c r="G96" s="102"/>
      <c r="H96" s="102"/>
      <c r="I96" s="102"/>
      <c r="J96" s="102"/>
      <c r="K96" s="102"/>
      <c r="L96" s="102"/>
      <c r="M96" s="102"/>
      <c r="N96" s="102"/>
    </row>
    <row r="97" spans="1:14" x14ac:dyDescent="0.2">
      <c r="C97" s="103"/>
      <c r="D97" s="103"/>
      <c r="E97" s="103"/>
      <c r="F97" s="103"/>
      <c r="G97" s="103"/>
      <c r="H97" s="103"/>
      <c r="I97" s="103"/>
      <c r="J97" s="103"/>
      <c r="K97" s="103"/>
      <c r="L97" s="103"/>
      <c r="M97" s="103"/>
      <c r="N97" s="103"/>
    </row>
    <row r="98" spans="1:14" x14ac:dyDescent="0.2">
      <c r="A98" s="134"/>
      <c r="B98" s="134"/>
      <c r="C98" s="177"/>
      <c r="D98" s="177"/>
      <c r="E98" s="177"/>
      <c r="F98" s="177"/>
      <c r="G98" s="177"/>
      <c r="H98" s="177"/>
      <c r="I98" s="177"/>
      <c r="J98" s="181"/>
    </row>
    <row r="99" spans="1:14" ht="8.1" customHeight="1" x14ac:dyDescent="0.2">
      <c r="C99" s="105"/>
      <c r="D99" s="105"/>
      <c r="E99" s="105"/>
      <c r="F99" s="105"/>
      <c r="G99" s="105"/>
      <c r="H99" s="105"/>
      <c r="I99" s="105"/>
      <c r="J99" s="105"/>
    </row>
    <row r="100" spans="1:14" x14ac:dyDescent="0.2">
      <c r="A100" s="134"/>
      <c r="B100" s="134"/>
      <c r="C100" s="181"/>
      <c r="D100" s="181"/>
      <c r="E100" s="181"/>
      <c r="F100" s="181"/>
      <c r="G100" s="181"/>
      <c r="H100" s="181"/>
      <c r="I100" s="181"/>
      <c r="J100" s="181"/>
    </row>
    <row r="101" spans="1:14" ht="8.1" customHeight="1" x14ac:dyDescent="0.2">
      <c r="C101" s="105"/>
      <c r="D101" s="105"/>
      <c r="E101" s="105"/>
      <c r="F101" s="105"/>
      <c r="G101" s="105"/>
      <c r="H101" s="105"/>
      <c r="I101" s="105"/>
      <c r="J101" s="105"/>
    </row>
    <row r="102" spans="1:14" x14ac:dyDescent="0.2">
      <c r="A102" s="134"/>
      <c r="C102" s="103"/>
      <c r="D102" s="103"/>
      <c r="E102" s="103"/>
      <c r="F102" s="103"/>
      <c r="G102" s="103"/>
      <c r="H102" s="103"/>
      <c r="I102" s="103"/>
      <c r="J102" s="106"/>
    </row>
  </sheetData>
  <pageMargins left="0.25" right="0.25" top="0.75" bottom="0.75" header="0.3" footer="0.3"/>
  <pageSetup scale="62" fitToWidth="0" orientation="portrait" horizontalDpi="4294967295" verticalDpi="4294967295" r:id="rId1"/>
  <headerFooter alignWithMargins="0"/>
  <rowBreaks count="1" manualBreakCount="1">
    <brk id="53" max="1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109"/>
  <sheetViews>
    <sheetView topLeftCell="A4" workbookViewId="0">
      <selection activeCell="A29" sqref="A29"/>
    </sheetView>
  </sheetViews>
  <sheetFormatPr defaultRowHeight="12.75" x14ac:dyDescent="0.2"/>
  <cols>
    <col min="1" max="1" width="20.28515625" style="5" customWidth="1"/>
    <col min="2" max="2" width="10.140625" style="5" customWidth="1"/>
    <col min="3" max="3" width="4.5703125" style="5" customWidth="1"/>
    <col min="4" max="4" width="11.28515625" style="5" customWidth="1"/>
    <col min="5" max="5" width="5.5703125" style="5" customWidth="1"/>
    <col min="6" max="6" width="13" style="5" customWidth="1"/>
    <col min="7" max="7" width="9.5703125" style="5" customWidth="1"/>
    <col min="8" max="8" width="4.7109375" style="5" bestFit="1" customWidth="1"/>
    <col min="9" max="9" width="10.42578125" style="5" customWidth="1"/>
    <col min="10" max="10" width="9.42578125" style="5" customWidth="1"/>
    <col min="11" max="11" width="5.42578125" style="5" bestFit="1" customWidth="1"/>
    <col min="12" max="14" width="9.5703125" style="5"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256" width="9.140625" style="5"/>
    <col min="257" max="257" width="24" style="5" customWidth="1"/>
    <col min="258" max="258" width="10.140625" style="5" customWidth="1"/>
    <col min="259" max="259" width="4.5703125" style="5" customWidth="1"/>
    <col min="260" max="260" width="11.28515625" style="5" customWidth="1"/>
    <col min="261" max="261" width="5.5703125" style="5" customWidth="1"/>
    <col min="262" max="262" width="13" style="5" customWidth="1"/>
    <col min="263" max="263" width="8.7109375" style="5" customWidth="1"/>
    <col min="264" max="264" width="4.7109375" style="5" bestFit="1" customWidth="1"/>
    <col min="265" max="265" width="10.42578125" style="5" customWidth="1"/>
    <col min="266" max="266" width="9.42578125" style="5" customWidth="1"/>
    <col min="267" max="267" width="5.42578125" style="5" bestFit="1" customWidth="1"/>
    <col min="268" max="270" width="9.5703125" style="5" customWidth="1"/>
    <col min="271" max="272" width="0" style="5" hidden="1" customWidth="1"/>
    <col min="273" max="278" width="9.5703125" style="5" customWidth="1"/>
    <col min="279" max="280" width="10.42578125" style="5" customWidth="1"/>
    <col min="281" max="281" width="9.85546875" style="5" customWidth="1"/>
    <col min="282" max="282" width="9.140625" style="5"/>
    <col min="283" max="283" width="10.42578125" style="5" customWidth="1"/>
    <col min="284" max="512" width="9.140625" style="5"/>
    <col min="513" max="513" width="24" style="5" customWidth="1"/>
    <col min="514" max="514" width="10.140625" style="5" customWidth="1"/>
    <col min="515" max="515" width="4.5703125" style="5" customWidth="1"/>
    <col min="516" max="516" width="11.28515625" style="5" customWidth="1"/>
    <col min="517" max="517" width="5.5703125" style="5" customWidth="1"/>
    <col min="518" max="518" width="13" style="5" customWidth="1"/>
    <col min="519" max="519" width="8.7109375" style="5" customWidth="1"/>
    <col min="520" max="520" width="4.7109375" style="5" bestFit="1" customWidth="1"/>
    <col min="521" max="521" width="10.42578125" style="5" customWidth="1"/>
    <col min="522" max="522" width="9.42578125" style="5" customWidth="1"/>
    <col min="523" max="523" width="5.42578125" style="5" bestFit="1" customWidth="1"/>
    <col min="524" max="526" width="9.5703125" style="5" customWidth="1"/>
    <col min="527" max="528" width="0" style="5" hidden="1" customWidth="1"/>
    <col min="529" max="534" width="9.5703125" style="5" customWidth="1"/>
    <col min="535" max="536" width="10.42578125" style="5" customWidth="1"/>
    <col min="537" max="537" width="9.85546875" style="5" customWidth="1"/>
    <col min="538" max="538" width="9.140625" style="5"/>
    <col min="539" max="539" width="10.42578125" style="5" customWidth="1"/>
    <col min="540" max="768" width="9.140625" style="5"/>
    <col min="769" max="769" width="24" style="5" customWidth="1"/>
    <col min="770" max="770" width="10.140625" style="5" customWidth="1"/>
    <col min="771" max="771" width="4.5703125" style="5" customWidth="1"/>
    <col min="772" max="772" width="11.28515625" style="5" customWidth="1"/>
    <col min="773" max="773" width="5.5703125" style="5" customWidth="1"/>
    <col min="774" max="774" width="13" style="5" customWidth="1"/>
    <col min="775" max="775" width="8.7109375" style="5" customWidth="1"/>
    <col min="776" max="776" width="4.7109375" style="5" bestFit="1" customWidth="1"/>
    <col min="777" max="777" width="10.42578125" style="5" customWidth="1"/>
    <col min="778" max="778" width="9.42578125" style="5" customWidth="1"/>
    <col min="779" max="779" width="5.42578125" style="5" bestFit="1" customWidth="1"/>
    <col min="780" max="782" width="9.5703125" style="5" customWidth="1"/>
    <col min="783" max="784" width="0" style="5" hidden="1" customWidth="1"/>
    <col min="785" max="790" width="9.5703125" style="5" customWidth="1"/>
    <col min="791" max="792" width="10.42578125" style="5" customWidth="1"/>
    <col min="793" max="793" width="9.85546875" style="5" customWidth="1"/>
    <col min="794" max="794" width="9.140625" style="5"/>
    <col min="795" max="795" width="10.42578125" style="5" customWidth="1"/>
    <col min="796" max="1024" width="9.140625" style="5"/>
    <col min="1025" max="1025" width="24" style="5" customWidth="1"/>
    <col min="1026" max="1026" width="10.140625" style="5" customWidth="1"/>
    <col min="1027" max="1027" width="4.5703125" style="5" customWidth="1"/>
    <col min="1028" max="1028" width="11.28515625" style="5" customWidth="1"/>
    <col min="1029" max="1029" width="5.5703125" style="5" customWidth="1"/>
    <col min="1030" max="1030" width="13" style="5" customWidth="1"/>
    <col min="1031" max="1031" width="8.7109375" style="5" customWidth="1"/>
    <col min="1032" max="1032" width="4.7109375" style="5" bestFit="1" customWidth="1"/>
    <col min="1033" max="1033" width="10.42578125" style="5" customWidth="1"/>
    <col min="1034" max="1034" width="9.42578125" style="5" customWidth="1"/>
    <col min="1035" max="1035" width="5.42578125" style="5" bestFit="1" customWidth="1"/>
    <col min="1036" max="1038" width="9.5703125" style="5" customWidth="1"/>
    <col min="1039" max="1040" width="0" style="5" hidden="1" customWidth="1"/>
    <col min="1041" max="1046" width="9.5703125" style="5" customWidth="1"/>
    <col min="1047" max="1048" width="10.42578125" style="5" customWidth="1"/>
    <col min="1049" max="1049" width="9.85546875" style="5" customWidth="1"/>
    <col min="1050" max="1050" width="9.140625" style="5"/>
    <col min="1051" max="1051" width="10.42578125" style="5" customWidth="1"/>
    <col min="1052" max="1280" width="9.140625" style="5"/>
    <col min="1281" max="1281" width="24" style="5" customWidth="1"/>
    <col min="1282" max="1282" width="10.140625" style="5" customWidth="1"/>
    <col min="1283" max="1283" width="4.5703125" style="5" customWidth="1"/>
    <col min="1284" max="1284" width="11.28515625" style="5" customWidth="1"/>
    <col min="1285" max="1285" width="5.5703125" style="5" customWidth="1"/>
    <col min="1286" max="1286" width="13" style="5" customWidth="1"/>
    <col min="1287" max="1287" width="8.7109375" style="5" customWidth="1"/>
    <col min="1288" max="1288" width="4.7109375" style="5" bestFit="1" customWidth="1"/>
    <col min="1289" max="1289" width="10.42578125" style="5" customWidth="1"/>
    <col min="1290" max="1290" width="9.42578125" style="5" customWidth="1"/>
    <col min="1291" max="1291" width="5.42578125" style="5" bestFit="1" customWidth="1"/>
    <col min="1292" max="1294" width="9.5703125" style="5" customWidth="1"/>
    <col min="1295" max="1296" width="0" style="5" hidden="1" customWidth="1"/>
    <col min="1297" max="1302" width="9.5703125" style="5" customWidth="1"/>
    <col min="1303" max="1304" width="10.42578125" style="5" customWidth="1"/>
    <col min="1305" max="1305" width="9.85546875" style="5" customWidth="1"/>
    <col min="1306" max="1306" width="9.140625" style="5"/>
    <col min="1307" max="1307" width="10.42578125" style="5" customWidth="1"/>
    <col min="1308" max="1536" width="9.140625" style="5"/>
    <col min="1537" max="1537" width="24" style="5" customWidth="1"/>
    <col min="1538" max="1538" width="10.140625" style="5" customWidth="1"/>
    <col min="1539" max="1539" width="4.5703125" style="5" customWidth="1"/>
    <col min="1540" max="1540" width="11.28515625" style="5" customWidth="1"/>
    <col min="1541" max="1541" width="5.5703125" style="5" customWidth="1"/>
    <col min="1542" max="1542" width="13" style="5" customWidth="1"/>
    <col min="1543" max="1543" width="8.7109375" style="5" customWidth="1"/>
    <col min="1544" max="1544" width="4.7109375" style="5" bestFit="1" customWidth="1"/>
    <col min="1545" max="1545" width="10.42578125" style="5" customWidth="1"/>
    <col min="1546" max="1546" width="9.42578125" style="5" customWidth="1"/>
    <col min="1547" max="1547" width="5.42578125" style="5" bestFit="1" customWidth="1"/>
    <col min="1548" max="1550" width="9.5703125" style="5" customWidth="1"/>
    <col min="1551" max="1552" width="0" style="5" hidden="1" customWidth="1"/>
    <col min="1553" max="1558" width="9.5703125" style="5" customWidth="1"/>
    <col min="1559" max="1560" width="10.42578125" style="5" customWidth="1"/>
    <col min="1561" max="1561" width="9.85546875" style="5" customWidth="1"/>
    <col min="1562" max="1562" width="9.140625" style="5"/>
    <col min="1563" max="1563" width="10.42578125" style="5" customWidth="1"/>
    <col min="1564" max="1792" width="9.140625" style="5"/>
    <col min="1793" max="1793" width="24" style="5" customWidth="1"/>
    <col min="1794" max="1794" width="10.140625" style="5" customWidth="1"/>
    <col min="1795" max="1795" width="4.5703125" style="5" customWidth="1"/>
    <col min="1796" max="1796" width="11.28515625" style="5" customWidth="1"/>
    <col min="1797" max="1797" width="5.5703125" style="5" customWidth="1"/>
    <col min="1798" max="1798" width="13" style="5" customWidth="1"/>
    <col min="1799" max="1799" width="8.7109375" style="5" customWidth="1"/>
    <col min="1800" max="1800" width="4.7109375" style="5" bestFit="1" customWidth="1"/>
    <col min="1801" max="1801" width="10.42578125" style="5" customWidth="1"/>
    <col min="1802" max="1802" width="9.42578125" style="5" customWidth="1"/>
    <col min="1803" max="1803" width="5.42578125" style="5" bestFit="1" customWidth="1"/>
    <col min="1804" max="1806" width="9.5703125" style="5" customWidth="1"/>
    <col min="1807" max="1808" width="0" style="5" hidden="1" customWidth="1"/>
    <col min="1809" max="1814" width="9.5703125" style="5" customWidth="1"/>
    <col min="1815" max="1816" width="10.42578125" style="5" customWidth="1"/>
    <col min="1817" max="1817" width="9.85546875" style="5" customWidth="1"/>
    <col min="1818" max="1818" width="9.140625" style="5"/>
    <col min="1819" max="1819" width="10.42578125" style="5" customWidth="1"/>
    <col min="1820" max="2048" width="9.140625" style="5"/>
    <col min="2049" max="2049" width="24" style="5" customWidth="1"/>
    <col min="2050" max="2050" width="10.140625" style="5" customWidth="1"/>
    <col min="2051" max="2051" width="4.5703125" style="5" customWidth="1"/>
    <col min="2052" max="2052" width="11.28515625" style="5" customWidth="1"/>
    <col min="2053" max="2053" width="5.5703125" style="5" customWidth="1"/>
    <col min="2054" max="2054" width="13" style="5" customWidth="1"/>
    <col min="2055" max="2055" width="8.7109375" style="5" customWidth="1"/>
    <col min="2056" max="2056" width="4.7109375" style="5" bestFit="1" customWidth="1"/>
    <col min="2057" max="2057" width="10.42578125" style="5" customWidth="1"/>
    <col min="2058" max="2058" width="9.42578125" style="5" customWidth="1"/>
    <col min="2059" max="2059" width="5.42578125" style="5" bestFit="1" customWidth="1"/>
    <col min="2060" max="2062" width="9.5703125" style="5" customWidth="1"/>
    <col min="2063" max="2064" width="0" style="5" hidden="1" customWidth="1"/>
    <col min="2065" max="2070" width="9.5703125" style="5" customWidth="1"/>
    <col min="2071" max="2072" width="10.42578125" style="5" customWidth="1"/>
    <col min="2073" max="2073" width="9.85546875" style="5" customWidth="1"/>
    <col min="2074" max="2074" width="9.140625" style="5"/>
    <col min="2075" max="2075" width="10.42578125" style="5" customWidth="1"/>
    <col min="2076" max="2304" width="9.140625" style="5"/>
    <col min="2305" max="2305" width="24" style="5" customWidth="1"/>
    <col min="2306" max="2306" width="10.140625" style="5" customWidth="1"/>
    <col min="2307" max="2307" width="4.5703125" style="5" customWidth="1"/>
    <col min="2308" max="2308" width="11.28515625" style="5" customWidth="1"/>
    <col min="2309" max="2309" width="5.5703125" style="5" customWidth="1"/>
    <col min="2310" max="2310" width="13" style="5" customWidth="1"/>
    <col min="2311" max="2311" width="8.7109375" style="5" customWidth="1"/>
    <col min="2312" max="2312" width="4.7109375" style="5" bestFit="1" customWidth="1"/>
    <col min="2313" max="2313" width="10.42578125" style="5" customWidth="1"/>
    <col min="2314" max="2314" width="9.42578125" style="5" customWidth="1"/>
    <col min="2315" max="2315" width="5.42578125" style="5" bestFit="1" customWidth="1"/>
    <col min="2316" max="2318" width="9.5703125" style="5" customWidth="1"/>
    <col min="2319" max="2320" width="0" style="5" hidden="1" customWidth="1"/>
    <col min="2321" max="2326" width="9.5703125" style="5" customWidth="1"/>
    <col min="2327" max="2328" width="10.42578125" style="5" customWidth="1"/>
    <col min="2329" max="2329" width="9.85546875" style="5" customWidth="1"/>
    <col min="2330" max="2330" width="9.140625" style="5"/>
    <col min="2331" max="2331" width="10.42578125" style="5" customWidth="1"/>
    <col min="2332" max="2560" width="9.140625" style="5"/>
    <col min="2561" max="2561" width="24" style="5" customWidth="1"/>
    <col min="2562" max="2562" width="10.140625" style="5" customWidth="1"/>
    <col min="2563" max="2563" width="4.5703125" style="5" customWidth="1"/>
    <col min="2564" max="2564" width="11.28515625" style="5" customWidth="1"/>
    <col min="2565" max="2565" width="5.5703125" style="5" customWidth="1"/>
    <col min="2566" max="2566" width="13" style="5" customWidth="1"/>
    <col min="2567" max="2567" width="8.7109375" style="5" customWidth="1"/>
    <col min="2568" max="2568" width="4.7109375" style="5" bestFit="1" customWidth="1"/>
    <col min="2569" max="2569" width="10.42578125" style="5" customWidth="1"/>
    <col min="2570" max="2570" width="9.42578125" style="5" customWidth="1"/>
    <col min="2571" max="2571" width="5.42578125" style="5" bestFit="1" customWidth="1"/>
    <col min="2572" max="2574" width="9.5703125" style="5" customWidth="1"/>
    <col min="2575" max="2576" width="0" style="5" hidden="1" customWidth="1"/>
    <col min="2577" max="2582" width="9.5703125" style="5" customWidth="1"/>
    <col min="2583" max="2584" width="10.42578125" style="5" customWidth="1"/>
    <col min="2585" max="2585" width="9.85546875" style="5" customWidth="1"/>
    <col min="2586" max="2586" width="9.140625" style="5"/>
    <col min="2587" max="2587" width="10.42578125" style="5" customWidth="1"/>
    <col min="2588" max="2816" width="9.140625" style="5"/>
    <col min="2817" max="2817" width="24" style="5" customWidth="1"/>
    <col min="2818" max="2818" width="10.140625" style="5" customWidth="1"/>
    <col min="2819" max="2819" width="4.5703125" style="5" customWidth="1"/>
    <col min="2820" max="2820" width="11.28515625" style="5" customWidth="1"/>
    <col min="2821" max="2821" width="5.5703125" style="5" customWidth="1"/>
    <col min="2822" max="2822" width="13" style="5" customWidth="1"/>
    <col min="2823" max="2823" width="8.7109375" style="5" customWidth="1"/>
    <col min="2824" max="2824" width="4.7109375" style="5" bestFit="1" customWidth="1"/>
    <col min="2825" max="2825" width="10.42578125" style="5" customWidth="1"/>
    <col min="2826" max="2826" width="9.42578125" style="5" customWidth="1"/>
    <col min="2827" max="2827" width="5.42578125" style="5" bestFit="1" customWidth="1"/>
    <col min="2828" max="2830" width="9.5703125" style="5" customWidth="1"/>
    <col min="2831" max="2832" width="0" style="5" hidden="1" customWidth="1"/>
    <col min="2833" max="2838" width="9.5703125" style="5" customWidth="1"/>
    <col min="2839" max="2840" width="10.42578125" style="5" customWidth="1"/>
    <col min="2841" max="2841" width="9.85546875" style="5" customWidth="1"/>
    <col min="2842" max="2842" width="9.140625" style="5"/>
    <col min="2843" max="2843" width="10.42578125" style="5" customWidth="1"/>
    <col min="2844" max="3072" width="9.140625" style="5"/>
    <col min="3073" max="3073" width="24" style="5" customWidth="1"/>
    <col min="3074" max="3074" width="10.140625" style="5" customWidth="1"/>
    <col min="3075" max="3075" width="4.5703125" style="5" customWidth="1"/>
    <col min="3076" max="3076" width="11.28515625" style="5" customWidth="1"/>
    <col min="3077" max="3077" width="5.5703125" style="5" customWidth="1"/>
    <col min="3078" max="3078" width="13" style="5" customWidth="1"/>
    <col min="3079" max="3079" width="8.7109375" style="5" customWidth="1"/>
    <col min="3080" max="3080" width="4.7109375" style="5" bestFit="1" customWidth="1"/>
    <col min="3081" max="3081" width="10.42578125" style="5" customWidth="1"/>
    <col min="3082" max="3082" width="9.42578125" style="5" customWidth="1"/>
    <col min="3083" max="3083" width="5.42578125" style="5" bestFit="1" customWidth="1"/>
    <col min="3084" max="3086" width="9.5703125" style="5" customWidth="1"/>
    <col min="3087" max="3088" width="0" style="5" hidden="1" customWidth="1"/>
    <col min="3089" max="3094" width="9.5703125" style="5" customWidth="1"/>
    <col min="3095" max="3096" width="10.42578125" style="5" customWidth="1"/>
    <col min="3097" max="3097" width="9.85546875" style="5" customWidth="1"/>
    <col min="3098" max="3098" width="9.140625" style="5"/>
    <col min="3099" max="3099" width="10.42578125" style="5" customWidth="1"/>
    <col min="3100" max="3328" width="9.140625" style="5"/>
    <col min="3329" max="3329" width="24" style="5" customWidth="1"/>
    <col min="3330" max="3330" width="10.140625" style="5" customWidth="1"/>
    <col min="3331" max="3331" width="4.5703125" style="5" customWidth="1"/>
    <col min="3332" max="3332" width="11.28515625" style="5" customWidth="1"/>
    <col min="3333" max="3333" width="5.5703125" style="5" customWidth="1"/>
    <col min="3334" max="3334" width="13" style="5" customWidth="1"/>
    <col min="3335" max="3335" width="8.7109375" style="5" customWidth="1"/>
    <col min="3336" max="3336" width="4.7109375" style="5" bestFit="1" customWidth="1"/>
    <col min="3337" max="3337" width="10.42578125" style="5" customWidth="1"/>
    <col min="3338" max="3338" width="9.42578125" style="5" customWidth="1"/>
    <col min="3339" max="3339" width="5.42578125" style="5" bestFit="1" customWidth="1"/>
    <col min="3340" max="3342" width="9.5703125" style="5" customWidth="1"/>
    <col min="3343" max="3344" width="0" style="5" hidden="1" customWidth="1"/>
    <col min="3345" max="3350" width="9.5703125" style="5" customWidth="1"/>
    <col min="3351" max="3352" width="10.42578125" style="5" customWidth="1"/>
    <col min="3353" max="3353" width="9.85546875" style="5" customWidth="1"/>
    <col min="3354" max="3354" width="9.140625" style="5"/>
    <col min="3355" max="3355" width="10.42578125" style="5" customWidth="1"/>
    <col min="3356" max="3584" width="9.140625" style="5"/>
    <col min="3585" max="3585" width="24" style="5" customWidth="1"/>
    <col min="3586" max="3586" width="10.140625" style="5" customWidth="1"/>
    <col min="3587" max="3587" width="4.5703125" style="5" customWidth="1"/>
    <col min="3588" max="3588" width="11.28515625" style="5" customWidth="1"/>
    <col min="3589" max="3589" width="5.5703125" style="5" customWidth="1"/>
    <col min="3590" max="3590" width="13" style="5" customWidth="1"/>
    <col min="3591" max="3591" width="8.7109375" style="5" customWidth="1"/>
    <col min="3592" max="3592" width="4.7109375" style="5" bestFit="1" customWidth="1"/>
    <col min="3593" max="3593" width="10.42578125" style="5" customWidth="1"/>
    <col min="3594" max="3594" width="9.42578125" style="5" customWidth="1"/>
    <col min="3595" max="3595" width="5.42578125" style="5" bestFit="1" customWidth="1"/>
    <col min="3596" max="3598" width="9.5703125" style="5" customWidth="1"/>
    <col min="3599" max="3600" width="0" style="5" hidden="1" customWidth="1"/>
    <col min="3601" max="3606" width="9.5703125" style="5" customWidth="1"/>
    <col min="3607" max="3608" width="10.42578125" style="5" customWidth="1"/>
    <col min="3609" max="3609" width="9.85546875" style="5" customWidth="1"/>
    <col min="3610" max="3610" width="9.140625" style="5"/>
    <col min="3611" max="3611" width="10.42578125" style="5" customWidth="1"/>
    <col min="3612" max="3840" width="9.140625" style="5"/>
    <col min="3841" max="3841" width="24" style="5" customWidth="1"/>
    <col min="3842" max="3842" width="10.140625" style="5" customWidth="1"/>
    <col min="3843" max="3843" width="4.5703125" style="5" customWidth="1"/>
    <col min="3844" max="3844" width="11.28515625" style="5" customWidth="1"/>
    <col min="3845" max="3845" width="5.5703125" style="5" customWidth="1"/>
    <col min="3846" max="3846" width="13" style="5" customWidth="1"/>
    <col min="3847" max="3847" width="8.7109375" style="5" customWidth="1"/>
    <col min="3848" max="3848" width="4.7109375" style="5" bestFit="1" customWidth="1"/>
    <col min="3849" max="3849" width="10.42578125" style="5" customWidth="1"/>
    <col min="3850" max="3850" width="9.42578125" style="5" customWidth="1"/>
    <col min="3851" max="3851" width="5.42578125" style="5" bestFit="1" customWidth="1"/>
    <col min="3852" max="3854" width="9.5703125" style="5" customWidth="1"/>
    <col min="3855" max="3856" width="0" style="5" hidden="1" customWidth="1"/>
    <col min="3857" max="3862" width="9.5703125" style="5" customWidth="1"/>
    <col min="3863" max="3864" width="10.42578125" style="5" customWidth="1"/>
    <col min="3865" max="3865" width="9.85546875" style="5" customWidth="1"/>
    <col min="3866" max="3866" width="9.140625" style="5"/>
    <col min="3867" max="3867" width="10.42578125" style="5" customWidth="1"/>
    <col min="3868" max="4096" width="9.140625" style="5"/>
    <col min="4097" max="4097" width="24" style="5" customWidth="1"/>
    <col min="4098" max="4098" width="10.140625" style="5" customWidth="1"/>
    <col min="4099" max="4099" width="4.5703125" style="5" customWidth="1"/>
    <col min="4100" max="4100" width="11.28515625" style="5" customWidth="1"/>
    <col min="4101" max="4101" width="5.5703125" style="5" customWidth="1"/>
    <col min="4102" max="4102" width="13" style="5" customWidth="1"/>
    <col min="4103" max="4103" width="8.7109375" style="5" customWidth="1"/>
    <col min="4104" max="4104" width="4.7109375" style="5" bestFit="1" customWidth="1"/>
    <col min="4105" max="4105" width="10.42578125" style="5" customWidth="1"/>
    <col min="4106" max="4106" width="9.42578125" style="5" customWidth="1"/>
    <col min="4107" max="4107" width="5.42578125" style="5" bestFit="1" customWidth="1"/>
    <col min="4108" max="4110" width="9.5703125" style="5" customWidth="1"/>
    <col min="4111" max="4112" width="0" style="5" hidden="1" customWidth="1"/>
    <col min="4113" max="4118" width="9.5703125" style="5" customWidth="1"/>
    <col min="4119" max="4120" width="10.42578125" style="5" customWidth="1"/>
    <col min="4121" max="4121" width="9.85546875" style="5" customWidth="1"/>
    <col min="4122" max="4122" width="9.140625" style="5"/>
    <col min="4123" max="4123" width="10.42578125" style="5" customWidth="1"/>
    <col min="4124" max="4352" width="9.140625" style="5"/>
    <col min="4353" max="4353" width="24" style="5" customWidth="1"/>
    <col min="4354" max="4354" width="10.140625" style="5" customWidth="1"/>
    <col min="4355" max="4355" width="4.5703125" style="5" customWidth="1"/>
    <col min="4356" max="4356" width="11.28515625" style="5" customWidth="1"/>
    <col min="4357" max="4357" width="5.5703125" style="5" customWidth="1"/>
    <col min="4358" max="4358" width="13" style="5" customWidth="1"/>
    <col min="4359" max="4359" width="8.7109375" style="5" customWidth="1"/>
    <col min="4360" max="4360" width="4.7109375" style="5" bestFit="1" customWidth="1"/>
    <col min="4361" max="4361" width="10.42578125" style="5" customWidth="1"/>
    <col min="4362" max="4362" width="9.42578125" style="5" customWidth="1"/>
    <col min="4363" max="4363" width="5.42578125" style="5" bestFit="1" customWidth="1"/>
    <col min="4364" max="4366" width="9.5703125" style="5" customWidth="1"/>
    <col min="4367" max="4368" width="0" style="5" hidden="1" customWidth="1"/>
    <col min="4369" max="4374" width="9.5703125" style="5" customWidth="1"/>
    <col min="4375" max="4376" width="10.42578125" style="5" customWidth="1"/>
    <col min="4377" max="4377" width="9.85546875" style="5" customWidth="1"/>
    <col min="4378" max="4378" width="9.140625" style="5"/>
    <col min="4379" max="4379" width="10.42578125" style="5" customWidth="1"/>
    <col min="4380" max="4608" width="9.140625" style="5"/>
    <col min="4609" max="4609" width="24" style="5" customWidth="1"/>
    <col min="4610" max="4610" width="10.140625" style="5" customWidth="1"/>
    <col min="4611" max="4611" width="4.5703125" style="5" customWidth="1"/>
    <col min="4612" max="4612" width="11.28515625" style="5" customWidth="1"/>
    <col min="4613" max="4613" width="5.5703125" style="5" customWidth="1"/>
    <col min="4614" max="4614" width="13" style="5" customWidth="1"/>
    <col min="4615" max="4615" width="8.7109375" style="5" customWidth="1"/>
    <col min="4616" max="4616" width="4.7109375" style="5" bestFit="1" customWidth="1"/>
    <col min="4617" max="4617" width="10.42578125" style="5" customWidth="1"/>
    <col min="4618" max="4618" width="9.42578125" style="5" customWidth="1"/>
    <col min="4619" max="4619" width="5.42578125" style="5" bestFit="1" customWidth="1"/>
    <col min="4620" max="4622" width="9.5703125" style="5" customWidth="1"/>
    <col min="4623" max="4624" width="0" style="5" hidden="1" customWidth="1"/>
    <col min="4625" max="4630" width="9.5703125" style="5" customWidth="1"/>
    <col min="4631" max="4632" width="10.42578125" style="5" customWidth="1"/>
    <col min="4633" max="4633" width="9.85546875" style="5" customWidth="1"/>
    <col min="4634" max="4634" width="9.140625" style="5"/>
    <col min="4635" max="4635" width="10.42578125" style="5" customWidth="1"/>
    <col min="4636" max="4864" width="9.140625" style="5"/>
    <col min="4865" max="4865" width="24" style="5" customWidth="1"/>
    <col min="4866" max="4866" width="10.140625" style="5" customWidth="1"/>
    <col min="4867" max="4867" width="4.5703125" style="5" customWidth="1"/>
    <col min="4868" max="4868" width="11.28515625" style="5" customWidth="1"/>
    <col min="4869" max="4869" width="5.5703125" style="5" customWidth="1"/>
    <col min="4870" max="4870" width="13" style="5" customWidth="1"/>
    <col min="4871" max="4871" width="8.7109375" style="5" customWidth="1"/>
    <col min="4872" max="4872" width="4.7109375" style="5" bestFit="1" customWidth="1"/>
    <col min="4873" max="4873" width="10.42578125" style="5" customWidth="1"/>
    <col min="4874" max="4874" width="9.42578125" style="5" customWidth="1"/>
    <col min="4875" max="4875" width="5.42578125" style="5" bestFit="1" customWidth="1"/>
    <col min="4876" max="4878" width="9.5703125" style="5" customWidth="1"/>
    <col min="4879" max="4880" width="0" style="5" hidden="1" customWidth="1"/>
    <col min="4881" max="4886" width="9.5703125" style="5" customWidth="1"/>
    <col min="4887" max="4888" width="10.42578125" style="5" customWidth="1"/>
    <col min="4889" max="4889" width="9.85546875" style="5" customWidth="1"/>
    <col min="4890" max="4890" width="9.140625" style="5"/>
    <col min="4891" max="4891" width="10.42578125" style="5" customWidth="1"/>
    <col min="4892" max="5120" width="9.140625" style="5"/>
    <col min="5121" max="5121" width="24" style="5" customWidth="1"/>
    <col min="5122" max="5122" width="10.140625" style="5" customWidth="1"/>
    <col min="5123" max="5123" width="4.5703125" style="5" customWidth="1"/>
    <col min="5124" max="5124" width="11.28515625" style="5" customWidth="1"/>
    <col min="5125" max="5125" width="5.5703125" style="5" customWidth="1"/>
    <col min="5126" max="5126" width="13" style="5" customWidth="1"/>
    <col min="5127" max="5127" width="8.7109375" style="5" customWidth="1"/>
    <col min="5128" max="5128" width="4.7109375" style="5" bestFit="1" customWidth="1"/>
    <col min="5129" max="5129" width="10.42578125" style="5" customWidth="1"/>
    <col min="5130" max="5130" width="9.42578125" style="5" customWidth="1"/>
    <col min="5131" max="5131" width="5.42578125" style="5" bestFit="1" customWidth="1"/>
    <col min="5132" max="5134" width="9.5703125" style="5" customWidth="1"/>
    <col min="5135" max="5136" width="0" style="5" hidden="1" customWidth="1"/>
    <col min="5137" max="5142" width="9.5703125" style="5" customWidth="1"/>
    <col min="5143" max="5144" width="10.42578125" style="5" customWidth="1"/>
    <col min="5145" max="5145" width="9.85546875" style="5" customWidth="1"/>
    <col min="5146" max="5146" width="9.140625" style="5"/>
    <col min="5147" max="5147" width="10.42578125" style="5" customWidth="1"/>
    <col min="5148" max="5376" width="9.140625" style="5"/>
    <col min="5377" max="5377" width="24" style="5" customWidth="1"/>
    <col min="5378" max="5378" width="10.140625" style="5" customWidth="1"/>
    <col min="5379" max="5379" width="4.5703125" style="5" customWidth="1"/>
    <col min="5380" max="5380" width="11.28515625" style="5" customWidth="1"/>
    <col min="5381" max="5381" width="5.5703125" style="5" customWidth="1"/>
    <col min="5382" max="5382" width="13" style="5" customWidth="1"/>
    <col min="5383" max="5383" width="8.7109375" style="5" customWidth="1"/>
    <col min="5384" max="5384" width="4.7109375" style="5" bestFit="1" customWidth="1"/>
    <col min="5385" max="5385" width="10.42578125" style="5" customWidth="1"/>
    <col min="5386" max="5386" width="9.42578125" style="5" customWidth="1"/>
    <col min="5387" max="5387" width="5.42578125" style="5" bestFit="1" customWidth="1"/>
    <col min="5388" max="5390" width="9.5703125" style="5" customWidth="1"/>
    <col min="5391" max="5392" width="0" style="5" hidden="1" customWidth="1"/>
    <col min="5393" max="5398" width="9.5703125" style="5" customWidth="1"/>
    <col min="5399" max="5400" width="10.42578125" style="5" customWidth="1"/>
    <col min="5401" max="5401" width="9.85546875" style="5" customWidth="1"/>
    <col min="5402" max="5402" width="9.140625" style="5"/>
    <col min="5403" max="5403" width="10.42578125" style="5" customWidth="1"/>
    <col min="5404" max="5632" width="9.140625" style="5"/>
    <col min="5633" max="5633" width="24" style="5" customWidth="1"/>
    <col min="5634" max="5634" width="10.140625" style="5" customWidth="1"/>
    <col min="5635" max="5635" width="4.5703125" style="5" customWidth="1"/>
    <col min="5636" max="5636" width="11.28515625" style="5" customWidth="1"/>
    <col min="5637" max="5637" width="5.5703125" style="5" customWidth="1"/>
    <col min="5638" max="5638" width="13" style="5" customWidth="1"/>
    <col min="5639" max="5639" width="8.7109375" style="5" customWidth="1"/>
    <col min="5640" max="5640" width="4.7109375" style="5" bestFit="1" customWidth="1"/>
    <col min="5641" max="5641" width="10.42578125" style="5" customWidth="1"/>
    <col min="5642" max="5642" width="9.42578125" style="5" customWidth="1"/>
    <col min="5643" max="5643" width="5.42578125" style="5" bestFit="1" customWidth="1"/>
    <col min="5644" max="5646" width="9.5703125" style="5" customWidth="1"/>
    <col min="5647" max="5648" width="0" style="5" hidden="1" customWidth="1"/>
    <col min="5649" max="5654" width="9.5703125" style="5" customWidth="1"/>
    <col min="5655" max="5656" width="10.42578125" style="5" customWidth="1"/>
    <col min="5657" max="5657" width="9.85546875" style="5" customWidth="1"/>
    <col min="5658" max="5658" width="9.140625" style="5"/>
    <col min="5659" max="5659" width="10.42578125" style="5" customWidth="1"/>
    <col min="5660" max="5888" width="9.140625" style="5"/>
    <col min="5889" max="5889" width="24" style="5" customWidth="1"/>
    <col min="5890" max="5890" width="10.140625" style="5" customWidth="1"/>
    <col min="5891" max="5891" width="4.5703125" style="5" customWidth="1"/>
    <col min="5892" max="5892" width="11.28515625" style="5" customWidth="1"/>
    <col min="5893" max="5893" width="5.5703125" style="5" customWidth="1"/>
    <col min="5894" max="5894" width="13" style="5" customWidth="1"/>
    <col min="5895" max="5895" width="8.7109375" style="5" customWidth="1"/>
    <col min="5896" max="5896" width="4.7109375" style="5" bestFit="1" customWidth="1"/>
    <col min="5897" max="5897" width="10.42578125" style="5" customWidth="1"/>
    <col min="5898" max="5898" width="9.42578125" style="5" customWidth="1"/>
    <col min="5899" max="5899" width="5.42578125" style="5" bestFit="1" customWidth="1"/>
    <col min="5900" max="5902" width="9.5703125" style="5" customWidth="1"/>
    <col min="5903" max="5904" width="0" style="5" hidden="1" customWidth="1"/>
    <col min="5905" max="5910" width="9.5703125" style="5" customWidth="1"/>
    <col min="5911" max="5912" width="10.42578125" style="5" customWidth="1"/>
    <col min="5913" max="5913" width="9.85546875" style="5" customWidth="1"/>
    <col min="5914" max="5914" width="9.140625" style="5"/>
    <col min="5915" max="5915" width="10.42578125" style="5" customWidth="1"/>
    <col min="5916" max="6144" width="9.140625" style="5"/>
    <col min="6145" max="6145" width="24" style="5" customWidth="1"/>
    <col min="6146" max="6146" width="10.140625" style="5" customWidth="1"/>
    <col min="6147" max="6147" width="4.5703125" style="5" customWidth="1"/>
    <col min="6148" max="6148" width="11.28515625" style="5" customWidth="1"/>
    <col min="6149" max="6149" width="5.5703125" style="5" customWidth="1"/>
    <col min="6150" max="6150" width="13" style="5" customWidth="1"/>
    <col min="6151" max="6151" width="8.7109375" style="5" customWidth="1"/>
    <col min="6152" max="6152" width="4.7109375" style="5" bestFit="1" customWidth="1"/>
    <col min="6153" max="6153" width="10.42578125" style="5" customWidth="1"/>
    <col min="6154" max="6154" width="9.42578125" style="5" customWidth="1"/>
    <col min="6155" max="6155" width="5.42578125" style="5" bestFit="1" customWidth="1"/>
    <col min="6156" max="6158" width="9.5703125" style="5" customWidth="1"/>
    <col min="6159" max="6160" width="0" style="5" hidden="1" customWidth="1"/>
    <col min="6161" max="6166" width="9.5703125" style="5" customWidth="1"/>
    <col min="6167" max="6168" width="10.42578125" style="5" customWidth="1"/>
    <col min="6169" max="6169" width="9.85546875" style="5" customWidth="1"/>
    <col min="6170" max="6170" width="9.140625" style="5"/>
    <col min="6171" max="6171" width="10.42578125" style="5" customWidth="1"/>
    <col min="6172" max="6400" width="9.140625" style="5"/>
    <col min="6401" max="6401" width="24" style="5" customWidth="1"/>
    <col min="6402" max="6402" width="10.140625" style="5" customWidth="1"/>
    <col min="6403" max="6403" width="4.5703125" style="5" customWidth="1"/>
    <col min="6404" max="6404" width="11.28515625" style="5" customWidth="1"/>
    <col min="6405" max="6405" width="5.5703125" style="5" customWidth="1"/>
    <col min="6406" max="6406" width="13" style="5" customWidth="1"/>
    <col min="6407" max="6407" width="8.7109375" style="5" customWidth="1"/>
    <col min="6408" max="6408" width="4.7109375" style="5" bestFit="1" customWidth="1"/>
    <col min="6409" max="6409" width="10.42578125" style="5" customWidth="1"/>
    <col min="6410" max="6410" width="9.42578125" style="5" customWidth="1"/>
    <col min="6411" max="6411" width="5.42578125" style="5" bestFit="1" customWidth="1"/>
    <col min="6412" max="6414" width="9.5703125" style="5" customWidth="1"/>
    <col min="6415" max="6416" width="0" style="5" hidden="1" customWidth="1"/>
    <col min="6417" max="6422" width="9.5703125" style="5" customWidth="1"/>
    <col min="6423" max="6424" width="10.42578125" style="5" customWidth="1"/>
    <col min="6425" max="6425" width="9.85546875" style="5" customWidth="1"/>
    <col min="6426" max="6426" width="9.140625" style="5"/>
    <col min="6427" max="6427" width="10.42578125" style="5" customWidth="1"/>
    <col min="6428" max="6656" width="9.140625" style="5"/>
    <col min="6657" max="6657" width="24" style="5" customWidth="1"/>
    <col min="6658" max="6658" width="10.140625" style="5" customWidth="1"/>
    <col min="6659" max="6659" width="4.5703125" style="5" customWidth="1"/>
    <col min="6660" max="6660" width="11.28515625" style="5" customWidth="1"/>
    <col min="6661" max="6661" width="5.5703125" style="5" customWidth="1"/>
    <col min="6662" max="6662" width="13" style="5" customWidth="1"/>
    <col min="6663" max="6663" width="8.7109375" style="5" customWidth="1"/>
    <col min="6664" max="6664" width="4.7109375" style="5" bestFit="1" customWidth="1"/>
    <col min="6665" max="6665" width="10.42578125" style="5" customWidth="1"/>
    <col min="6666" max="6666" width="9.42578125" style="5" customWidth="1"/>
    <col min="6667" max="6667" width="5.42578125" style="5" bestFit="1" customWidth="1"/>
    <col min="6668" max="6670" width="9.5703125" style="5" customWidth="1"/>
    <col min="6671" max="6672" width="0" style="5" hidden="1" customWidth="1"/>
    <col min="6673" max="6678" width="9.5703125" style="5" customWidth="1"/>
    <col min="6679" max="6680" width="10.42578125" style="5" customWidth="1"/>
    <col min="6681" max="6681" width="9.85546875" style="5" customWidth="1"/>
    <col min="6682" max="6682" width="9.140625" style="5"/>
    <col min="6683" max="6683" width="10.42578125" style="5" customWidth="1"/>
    <col min="6684" max="6912" width="9.140625" style="5"/>
    <col min="6913" max="6913" width="24" style="5" customWidth="1"/>
    <col min="6914" max="6914" width="10.140625" style="5" customWidth="1"/>
    <col min="6915" max="6915" width="4.5703125" style="5" customWidth="1"/>
    <col min="6916" max="6916" width="11.28515625" style="5" customWidth="1"/>
    <col min="6917" max="6917" width="5.5703125" style="5" customWidth="1"/>
    <col min="6918" max="6918" width="13" style="5" customWidth="1"/>
    <col min="6919" max="6919" width="8.7109375" style="5" customWidth="1"/>
    <col min="6920" max="6920" width="4.7109375" style="5" bestFit="1" customWidth="1"/>
    <col min="6921" max="6921" width="10.42578125" style="5" customWidth="1"/>
    <col min="6922" max="6922" width="9.42578125" style="5" customWidth="1"/>
    <col min="6923" max="6923" width="5.42578125" style="5" bestFit="1" customWidth="1"/>
    <col min="6924" max="6926" width="9.5703125" style="5" customWidth="1"/>
    <col min="6927" max="6928" width="0" style="5" hidden="1" customWidth="1"/>
    <col min="6929" max="6934" width="9.5703125" style="5" customWidth="1"/>
    <col min="6935" max="6936" width="10.42578125" style="5" customWidth="1"/>
    <col min="6937" max="6937" width="9.85546875" style="5" customWidth="1"/>
    <col min="6938" max="6938" width="9.140625" style="5"/>
    <col min="6939" max="6939" width="10.42578125" style="5" customWidth="1"/>
    <col min="6940" max="7168" width="9.140625" style="5"/>
    <col min="7169" max="7169" width="24" style="5" customWidth="1"/>
    <col min="7170" max="7170" width="10.140625" style="5" customWidth="1"/>
    <col min="7171" max="7171" width="4.5703125" style="5" customWidth="1"/>
    <col min="7172" max="7172" width="11.28515625" style="5" customWidth="1"/>
    <col min="7173" max="7173" width="5.5703125" style="5" customWidth="1"/>
    <col min="7174" max="7174" width="13" style="5" customWidth="1"/>
    <col min="7175" max="7175" width="8.7109375" style="5" customWidth="1"/>
    <col min="7176" max="7176" width="4.7109375" style="5" bestFit="1" customWidth="1"/>
    <col min="7177" max="7177" width="10.42578125" style="5" customWidth="1"/>
    <col min="7178" max="7178" width="9.42578125" style="5" customWidth="1"/>
    <col min="7179" max="7179" width="5.42578125" style="5" bestFit="1" customWidth="1"/>
    <col min="7180" max="7182" width="9.5703125" style="5" customWidth="1"/>
    <col min="7183" max="7184" width="0" style="5" hidden="1" customWidth="1"/>
    <col min="7185" max="7190" width="9.5703125" style="5" customWidth="1"/>
    <col min="7191" max="7192" width="10.42578125" style="5" customWidth="1"/>
    <col min="7193" max="7193" width="9.85546875" style="5" customWidth="1"/>
    <col min="7194" max="7194" width="9.140625" style="5"/>
    <col min="7195" max="7195" width="10.42578125" style="5" customWidth="1"/>
    <col min="7196" max="7424" width="9.140625" style="5"/>
    <col min="7425" max="7425" width="24" style="5" customWidth="1"/>
    <col min="7426" max="7426" width="10.140625" style="5" customWidth="1"/>
    <col min="7427" max="7427" width="4.5703125" style="5" customWidth="1"/>
    <col min="7428" max="7428" width="11.28515625" style="5" customWidth="1"/>
    <col min="7429" max="7429" width="5.5703125" style="5" customWidth="1"/>
    <col min="7430" max="7430" width="13" style="5" customWidth="1"/>
    <col min="7431" max="7431" width="8.7109375" style="5" customWidth="1"/>
    <col min="7432" max="7432" width="4.7109375" style="5" bestFit="1" customWidth="1"/>
    <col min="7433" max="7433" width="10.42578125" style="5" customWidth="1"/>
    <col min="7434" max="7434" width="9.42578125" style="5" customWidth="1"/>
    <col min="7435" max="7435" width="5.42578125" style="5" bestFit="1" customWidth="1"/>
    <col min="7436" max="7438" width="9.5703125" style="5" customWidth="1"/>
    <col min="7439" max="7440" width="0" style="5" hidden="1" customWidth="1"/>
    <col min="7441" max="7446" width="9.5703125" style="5" customWidth="1"/>
    <col min="7447" max="7448" width="10.42578125" style="5" customWidth="1"/>
    <col min="7449" max="7449" width="9.85546875" style="5" customWidth="1"/>
    <col min="7450" max="7450" width="9.140625" style="5"/>
    <col min="7451" max="7451" width="10.42578125" style="5" customWidth="1"/>
    <col min="7452" max="7680" width="9.140625" style="5"/>
    <col min="7681" max="7681" width="24" style="5" customWidth="1"/>
    <col min="7682" max="7682" width="10.140625" style="5" customWidth="1"/>
    <col min="7683" max="7683" width="4.5703125" style="5" customWidth="1"/>
    <col min="7684" max="7684" width="11.28515625" style="5" customWidth="1"/>
    <col min="7685" max="7685" width="5.5703125" style="5" customWidth="1"/>
    <col min="7686" max="7686" width="13" style="5" customWidth="1"/>
    <col min="7687" max="7687" width="8.7109375" style="5" customWidth="1"/>
    <col min="7688" max="7688" width="4.7109375" style="5" bestFit="1" customWidth="1"/>
    <col min="7689" max="7689" width="10.42578125" style="5" customWidth="1"/>
    <col min="7690" max="7690" width="9.42578125" style="5" customWidth="1"/>
    <col min="7691" max="7691" width="5.42578125" style="5" bestFit="1" customWidth="1"/>
    <col min="7692" max="7694" width="9.5703125" style="5" customWidth="1"/>
    <col min="7695" max="7696" width="0" style="5" hidden="1" customWidth="1"/>
    <col min="7697" max="7702" width="9.5703125" style="5" customWidth="1"/>
    <col min="7703" max="7704" width="10.42578125" style="5" customWidth="1"/>
    <col min="7705" max="7705" width="9.85546875" style="5" customWidth="1"/>
    <col min="7706" max="7706" width="9.140625" style="5"/>
    <col min="7707" max="7707" width="10.42578125" style="5" customWidth="1"/>
    <col min="7708" max="7936" width="9.140625" style="5"/>
    <col min="7937" max="7937" width="24" style="5" customWidth="1"/>
    <col min="7938" max="7938" width="10.140625" style="5" customWidth="1"/>
    <col min="7939" max="7939" width="4.5703125" style="5" customWidth="1"/>
    <col min="7940" max="7940" width="11.28515625" style="5" customWidth="1"/>
    <col min="7941" max="7941" width="5.5703125" style="5" customWidth="1"/>
    <col min="7942" max="7942" width="13" style="5" customWidth="1"/>
    <col min="7943" max="7943" width="8.7109375" style="5" customWidth="1"/>
    <col min="7944" max="7944" width="4.7109375" style="5" bestFit="1" customWidth="1"/>
    <col min="7945" max="7945" width="10.42578125" style="5" customWidth="1"/>
    <col min="7946" max="7946" width="9.42578125" style="5" customWidth="1"/>
    <col min="7947" max="7947" width="5.42578125" style="5" bestFit="1" customWidth="1"/>
    <col min="7948" max="7950" width="9.5703125" style="5" customWidth="1"/>
    <col min="7951" max="7952" width="0" style="5" hidden="1" customWidth="1"/>
    <col min="7953" max="7958" width="9.5703125" style="5" customWidth="1"/>
    <col min="7959" max="7960" width="10.42578125" style="5" customWidth="1"/>
    <col min="7961" max="7961" width="9.85546875" style="5" customWidth="1"/>
    <col min="7962" max="7962" width="9.140625" style="5"/>
    <col min="7963" max="7963" width="10.42578125" style="5" customWidth="1"/>
    <col min="7964" max="8192" width="9.140625" style="5"/>
    <col min="8193" max="8193" width="24" style="5" customWidth="1"/>
    <col min="8194" max="8194" width="10.140625" style="5" customWidth="1"/>
    <col min="8195" max="8195" width="4.5703125" style="5" customWidth="1"/>
    <col min="8196" max="8196" width="11.28515625" style="5" customWidth="1"/>
    <col min="8197" max="8197" width="5.5703125" style="5" customWidth="1"/>
    <col min="8198" max="8198" width="13" style="5" customWidth="1"/>
    <col min="8199" max="8199" width="8.7109375" style="5" customWidth="1"/>
    <col min="8200" max="8200" width="4.7109375" style="5" bestFit="1" customWidth="1"/>
    <col min="8201" max="8201" width="10.42578125" style="5" customWidth="1"/>
    <col min="8202" max="8202" width="9.42578125" style="5" customWidth="1"/>
    <col min="8203" max="8203" width="5.42578125" style="5" bestFit="1" customWidth="1"/>
    <col min="8204" max="8206" width="9.5703125" style="5" customWidth="1"/>
    <col min="8207" max="8208" width="0" style="5" hidden="1" customWidth="1"/>
    <col min="8209" max="8214" width="9.5703125" style="5" customWidth="1"/>
    <col min="8215" max="8216" width="10.42578125" style="5" customWidth="1"/>
    <col min="8217" max="8217" width="9.85546875" style="5" customWidth="1"/>
    <col min="8218" max="8218" width="9.140625" style="5"/>
    <col min="8219" max="8219" width="10.42578125" style="5" customWidth="1"/>
    <col min="8220" max="8448" width="9.140625" style="5"/>
    <col min="8449" max="8449" width="24" style="5" customWidth="1"/>
    <col min="8450" max="8450" width="10.140625" style="5" customWidth="1"/>
    <col min="8451" max="8451" width="4.5703125" style="5" customWidth="1"/>
    <col min="8452" max="8452" width="11.28515625" style="5" customWidth="1"/>
    <col min="8453" max="8453" width="5.5703125" style="5" customWidth="1"/>
    <col min="8454" max="8454" width="13" style="5" customWidth="1"/>
    <col min="8455" max="8455" width="8.7109375" style="5" customWidth="1"/>
    <col min="8456" max="8456" width="4.7109375" style="5" bestFit="1" customWidth="1"/>
    <col min="8457" max="8457" width="10.42578125" style="5" customWidth="1"/>
    <col min="8458" max="8458" width="9.42578125" style="5" customWidth="1"/>
    <col min="8459" max="8459" width="5.42578125" style="5" bestFit="1" customWidth="1"/>
    <col min="8460" max="8462" width="9.5703125" style="5" customWidth="1"/>
    <col min="8463" max="8464" width="0" style="5" hidden="1" customWidth="1"/>
    <col min="8465" max="8470" width="9.5703125" style="5" customWidth="1"/>
    <col min="8471" max="8472" width="10.42578125" style="5" customWidth="1"/>
    <col min="8473" max="8473" width="9.85546875" style="5" customWidth="1"/>
    <col min="8474" max="8474" width="9.140625" style="5"/>
    <col min="8475" max="8475" width="10.42578125" style="5" customWidth="1"/>
    <col min="8476" max="8704" width="9.140625" style="5"/>
    <col min="8705" max="8705" width="24" style="5" customWidth="1"/>
    <col min="8706" max="8706" width="10.140625" style="5" customWidth="1"/>
    <col min="8707" max="8707" width="4.5703125" style="5" customWidth="1"/>
    <col min="8708" max="8708" width="11.28515625" style="5" customWidth="1"/>
    <col min="8709" max="8709" width="5.5703125" style="5" customWidth="1"/>
    <col min="8710" max="8710" width="13" style="5" customWidth="1"/>
    <col min="8711" max="8711" width="8.7109375" style="5" customWidth="1"/>
    <col min="8712" max="8712" width="4.7109375" style="5" bestFit="1" customWidth="1"/>
    <col min="8713" max="8713" width="10.42578125" style="5" customWidth="1"/>
    <col min="8714" max="8714" width="9.42578125" style="5" customWidth="1"/>
    <col min="8715" max="8715" width="5.42578125" style="5" bestFit="1" customWidth="1"/>
    <col min="8716" max="8718" width="9.5703125" style="5" customWidth="1"/>
    <col min="8719" max="8720" width="0" style="5" hidden="1" customWidth="1"/>
    <col min="8721" max="8726" width="9.5703125" style="5" customWidth="1"/>
    <col min="8727" max="8728" width="10.42578125" style="5" customWidth="1"/>
    <col min="8729" max="8729" width="9.85546875" style="5" customWidth="1"/>
    <col min="8730" max="8730" width="9.140625" style="5"/>
    <col min="8731" max="8731" width="10.42578125" style="5" customWidth="1"/>
    <col min="8732" max="8960" width="9.140625" style="5"/>
    <col min="8961" max="8961" width="24" style="5" customWidth="1"/>
    <col min="8962" max="8962" width="10.140625" style="5" customWidth="1"/>
    <col min="8963" max="8963" width="4.5703125" style="5" customWidth="1"/>
    <col min="8964" max="8964" width="11.28515625" style="5" customWidth="1"/>
    <col min="8965" max="8965" width="5.5703125" style="5" customWidth="1"/>
    <col min="8966" max="8966" width="13" style="5" customWidth="1"/>
    <col min="8967" max="8967" width="8.7109375" style="5" customWidth="1"/>
    <col min="8968" max="8968" width="4.7109375" style="5" bestFit="1" customWidth="1"/>
    <col min="8969" max="8969" width="10.42578125" style="5" customWidth="1"/>
    <col min="8970" max="8970" width="9.42578125" style="5" customWidth="1"/>
    <col min="8971" max="8971" width="5.42578125" style="5" bestFit="1" customWidth="1"/>
    <col min="8972" max="8974" width="9.5703125" style="5" customWidth="1"/>
    <col min="8975" max="8976" width="0" style="5" hidden="1" customWidth="1"/>
    <col min="8977" max="8982" width="9.5703125" style="5" customWidth="1"/>
    <col min="8983" max="8984" width="10.42578125" style="5" customWidth="1"/>
    <col min="8985" max="8985" width="9.85546875" style="5" customWidth="1"/>
    <col min="8986" max="8986" width="9.140625" style="5"/>
    <col min="8987" max="8987" width="10.42578125" style="5" customWidth="1"/>
    <col min="8988" max="9216" width="9.140625" style="5"/>
    <col min="9217" max="9217" width="24" style="5" customWidth="1"/>
    <col min="9218" max="9218" width="10.140625" style="5" customWidth="1"/>
    <col min="9219" max="9219" width="4.5703125" style="5" customWidth="1"/>
    <col min="9220" max="9220" width="11.28515625" style="5" customWidth="1"/>
    <col min="9221" max="9221" width="5.5703125" style="5" customWidth="1"/>
    <col min="9222" max="9222" width="13" style="5" customWidth="1"/>
    <col min="9223" max="9223" width="8.7109375" style="5" customWidth="1"/>
    <col min="9224" max="9224" width="4.7109375" style="5" bestFit="1" customWidth="1"/>
    <col min="9225" max="9225" width="10.42578125" style="5" customWidth="1"/>
    <col min="9226" max="9226" width="9.42578125" style="5" customWidth="1"/>
    <col min="9227" max="9227" width="5.42578125" style="5" bestFit="1" customWidth="1"/>
    <col min="9228" max="9230" width="9.5703125" style="5" customWidth="1"/>
    <col min="9231" max="9232" width="0" style="5" hidden="1" customWidth="1"/>
    <col min="9233" max="9238" width="9.5703125" style="5" customWidth="1"/>
    <col min="9239" max="9240" width="10.42578125" style="5" customWidth="1"/>
    <col min="9241" max="9241" width="9.85546875" style="5" customWidth="1"/>
    <col min="9242" max="9242" width="9.140625" style="5"/>
    <col min="9243" max="9243" width="10.42578125" style="5" customWidth="1"/>
    <col min="9244" max="9472" width="9.140625" style="5"/>
    <col min="9473" max="9473" width="24" style="5" customWidth="1"/>
    <col min="9474" max="9474" width="10.140625" style="5" customWidth="1"/>
    <col min="9475" max="9475" width="4.5703125" style="5" customWidth="1"/>
    <col min="9476" max="9476" width="11.28515625" style="5" customWidth="1"/>
    <col min="9477" max="9477" width="5.5703125" style="5" customWidth="1"/>
    <col min="9478" max="9478" width="13" style="5" customWidth="1"/>
    <col min="9479" max="9479" width="8.7109375" style="5" customWidth="1"/>
    <col min="9480" max="9480" width="4.7109375" style="5" bestFit="1" customWidth="1"/>
    <col min="9481" max="9481" width="10.42578125" style="5" customWidth="1"/>
    <col min="9482" max="9482" width="9.42578125" style="5" customWidth="1"/>
    <col min="9483" max="9483" width="5.42578125" style="5" bestFit="1" customWidth="1"/>
    <col min="9484" max="9486" width="9.5703125" style="5" customWidth="1"/>
    <col min="9487" max="9488" width="0" style="5" hidden="1" customWidth="1"/>
    <col min="9489" max="9494" width="9.5703125" style="5" customWidth="1"/>
    <col min="9495" max="9496" width="10.42578125" style="5" customWidth="1"/>
    <col min="9497" max="9497" width="9.85546875" style="5" customWidth="1"/>
    <col min="9498" max="9498" width="9.140625" style="5"/>
    <col min="9499" max="9499" width="10.42578125" style="5" customWidth="1"/>
    <col min="9500" max="9728" width="9.140625" style="5"/>
    <col min="9729" max="9729" width="24" style="5" customWidth="1"/>
    <col min="9730" max="9730" width="10.140625" style="5" customWidth="1"/>
    <col min="9731" max="9731" width="4.5703125" style="5" customWidth="1"/>
    <col min="9732" max="9732" width="11.28515625" style="5" customWidth="1"/>
    <col min="9733" max="9733" width="5.5703125" style="5" customWidth="1"/>
    <col min="9734" max="9734" width="13" style="5" customWidth="1"/>
    <col min="9735" max="9735" width="8.7109375" style="5" customWidth="1"/>
    <col min="9736" max="9736" width="4.7109375" style="5" bestFit="1" customWidth="1"/>
    <col min="9737" max="9737" width="10.42578125" style="5" customWidth="1"/>
    <col min="9738" max="9738" width="9.42578125" style="5" customWidth="1"/>
    <col min="9739" max="9739" width="5.42578125" style="5" bestFit="1" customWidth="1"/>
    <col min="9740" max="9742" width="9.5703125" style="5" customWidth="1"/>
    <col min="9743" max="9744" width="0" style="5" hidden="1" customWidth="1"/>
    <col min="9745" max="9750" width="9.5703125" style="5" customWidth="1"/>
    <col min="9751" max="9752" width="10.42578125" style="5" customWidth="1"/>
    <col min="9753" max="9753" width="9.85546875" style="5" customWidth="1"/>
    <col min="9754" max="9754" width="9.140625" style="5"/>
    <col min="9755" max="9755" width="10.42578125" style="5" customWidth="1"/>
    <col min="9756" max="9984" width="9.140625" style="5"/>
    <col min="9985" max="9985" width="24" style="5" customWidth="1"/>
    <col min="9986" max="9986" width="10.140625" style="5" customWidth="1"/>
    <col min="9987" max="9987" width="4.5703125" style="5" customWidth="1"/>
    <col min="9988" max="9988" width="11.28515625" style="5" customWidth="1"/>
    <col min="9989" max="9989" width="5.5703125" style="5" customWidth="1"/>
    <col min="9990" max="9990" width="13" style="5" customWidth="1"/>
    <col min="9991" max="9991" width="8.7109375" style="5" customWidth="1"/>
    <col min="9992" max="9992" width="4.7109375" style="5" bestFit="1" customWidth="1"/>
    <col min="9993" max="9993" width="10.42578125" style="5" customWidth="1"/>
    <col min="9994" max="9994" width="9.42578125" style="5" customWidth="1"/>
    <col min="9995" max="9995" width="5.42578125" style="5" bestFit="1" customWidth="1"/>
    <col min="9996" max="9998" width="9.5703125" style="5" customWidth="1"/>
    <col min="9999" max="10000" width="0" style="5" hidden="1" customWidth="1"/>
    <col min="10001" max="10006" width="9.5703125" style="5" customWidth="1"/>
    <col min="10007" max="10008" width="10.42578125" style="5" customWidth="1"/>
    <col min="10009" max="10009" width="9.85546875" style="5" customWidth="1"/>
    <col min="10010" max="10010" width="9.140625" style="5"/>
    <col min="10011" max="10011" width="10.42578125" style="5" customWidth="1"/>
    <col min="10012" max="10240" width="9.140625" style="5"/>
    <col min="10241" max="10241" width="24" style="5" customWidth="1"/>
    <col min="10242" max="10242" width="10.140625" style="5" customWidth="1"/>
    <col min="10243" max="10243" width="4.5703125" style="5" customWidth="1"/>
    <col min="10244" max="10244" width="11.28515625" style="5" customWidth="1"/>
    <col min="10245" max="10245" width="5.5703125" style="5" customWidth="1"/>
    <col min="10246" max="10246" width="13" style="5" customWidth="1"/>
    <col min="10247" max="10247" width="8.7109375" style="5" customWidth="1"/>
    <col min="10248" max="10248" width="4.7109375" style="5" bestFit="1" customWidth="1"/>
    <col min="10249" max="10249" width="10.42578125" style="5" customWidth="1"/>
    <col min="10250" max="10250" width="9.42578125" style="5" customWidth="1"/>
    <col min="10251" max="10251" width="5.42578125" style="5" bestFit="1" customWidth="1"/>
    <col min="10252" max="10254" width="9.5703125" style="5" customWidth="1"/>
    <col min="10255" max="10256" width="0" style="5" hidden="1" customWidth="1"/>
    <col min="10257" max="10262" width="9.5703125" style="5" customWidth="1"/>
    <col min="10263" max="10264" width="10.42578125" style="5" customWidth="1"/>
    <col min="10265" max="10265" width="9.85546875" style="5" customWidth="1"/>
    <col min="10266" max="10266" width="9.140625" style="5"/>
    <col min="10267" max="10267" width="10.42578125" style="5" customWidth="1"/>
    <col min="10268" max="10496" width="9.140625" style="5"/>
    <col min="10497" max="10497" width="24" style="5" customWidth="1"/>
    <col min="10498" max="10498" width="10.140625" style="5" customWidth="1"/>
    <col min="10499" max="10499" width="4.5703125" style="5" customWidth="1"/>
    <col min="10500" max="10500" width="11.28515625" style="5" customWidth="1"/>
    <col min="10501" max="10501" width="5.5703125" style="5" customWidth="1"/>
    <col min="10502" max="10502" width="13" style="5" customWidth="1"/>
    <col min="10503" max="10503" width="8.7109375" style="5" customWidth="1"/>
    <col min="10504" max="10504" width="4.7109375" style="5" bestFit="1" customWidth="1"/>
    <col min="10505" max="10505" width="10.42578125" style="5" customWidth="1"/>
    <col min="10506" max="10506" width="9.42578125" style="5" customWidth="1"/>
    <col min="10507" max="10507" width="5.42578125" style="5" bestFit="1" customWidth="1"/>
    <col min="10508" max="10510" width="9.5703125" style="5" customWidth="1"/>
    <col min="10511" max="10512" width="0" style="5" hidden="1" customWidth="1"/>
    <col min="10513" max="10518" width="9.5703125" style="5" customWidth="1"/>
    <col min="10519" max="10520" width="10.42578125" style="5" customWidth="1"/>
    <col min="10521" max="10521" width="9.85546875" style="5" customWidth="1"/>
    <col min="10522" max="10522" width="9.140625" style="5"/>
    <col min="10523" max="10523" width="10.42578125" style="5" customWidth="1"/>
    <col min="10524" max="10752" width="9.140625" style="5"/>
    <col min="10753" max="10753" width="24" style="5" customWidth="1"/>
    <col min="10754" max="10754" width="10.140625" style="5" customWidth="1"/>
    <col min="10755" max="10755" width="4.5703125" style="5" customWidth="1"/>
    <col min="10756" max="10756" width="11.28515625" style="5" customWidth="1"/>
    <col min="10757" max="10757" width="5.5703125" style="5" customWidth="1"/>
    <col min="10758" max="10758" width="13" style="5" customWidth="1"/>
    <col min="10759" max="10759" width="8.7109375" style="5" customWidth="1"/>
    <col min="10760" max="10760" width="4.7109375" style="5" bestFit="1" customWidth="1"/>
    <col min="10761" max="10761" width="10.42578125" style="5" customWidth="1"/>
    <col min="10762" max="10762" width="9.42578125" style="5" customWidth="1"/>
    <col min="10763" max="10763" width="5.42578125" style="5" bestFit="1" customWidth="1"/>
    <col min="10764" max="10766" width="9.5703125" style="5" customWidth="1"/>
    <col min="10767" max="10768" width="0" style="5" hidden="1" customWidth="1"/>
    <col min="10769" max="10774" width="9.5703125" style="5" customWidth="1"/>
    <col min="10775" max="10776" width="10.42578125" style="5" customWidth="1"/>
    <col min="10777" max="10777" width="9.85546875" style="5" customWidth="1"/>
    <col min="10778" max="10778" width="9.140625" style="5"/>
    <col min="10779" max="10779" width="10.42578125" style="5" customWidth="1"/>
    <col min="10780" max="11008" width="9.140625" style="5"/>
    <col min="11009" max="11009" width="24" style="5" customWidth="1"/>
    <col min="11010" max="11010" width="10.140625" style="5" customWidth="1"/>
    <col min="11011" max="11011" width="4.5703125" style="5" customWidth="1"/>
    <col min="11012" max="11012" width="11.28515625" style="5" customWidth="1"/>
    <col min="11013" max="11013" width="5.5703125" style="5" customWidth="1"/>
    <col min="11014" max="11014" width="13" style="5" customWidth="1"/>
    <col min="11015" max="11015" width="8.7109375" style="5" customWidth="1"/>
    <col min="11016" max="11016" width="4.7109375" style="5" bestFit="1" customWidth="1"/>
    <col min="11017" max="11017" width="10.42578125" style="5" customWidth="1"/>
    <col min="11018" max="11018" width="9.42578125" style="5" customWidth="1"/>
    <col min="11019" max="11019" width="5.42578125" style="5" bestFit="1" customWidth="1"/>
    <col min="11020" max="11022" width="9.5703125" style="5" customWidth="1"/>
    <col min="11023" max="11024" width="0" style="5" hidden="1" customWidth="1"/>
    <col min="11025" max="11030" width="9.5703125" style="5" customWidth="1"/>
    <col min="11031" max="11032" width="10.42578125" style="5" customWidth="1"/>
    <col min="11033" max="11033" width="9.85546875" style="5" customWidth="1"/>
    <col min="11034" max="11034" width="9.140625" style="5"/>
    <col min="11035" max="11035" width="10.42578125" style="5" customWidth="1"/>
    <col min="11036" max="11264" width="9.140625" style="5"/>
    <col min="11265" max="11265" width="24" style="5" customWidth="1"/>
    <col min="11266" max="11266" width="10.140625" style="5" customWidth="1"/>
    <col min="11267" max="11267" width="4.5703125" style="5" customWidth="1"/>
    <col min="11268" max="11268" width="11.28515625" style="5" customWidth="1"/>
    <col min="11269" max="11269" width="5.5703125" style="5" customWidth="1"/>
    <col min="11270" max="11270" width="13" style="5" customWidth="1"/>
    <col min="11271" max="11271" width="8.7109375" style="5" customWidth="1"/>
    <col min="11272" max="11272" width="4.7109375" style="5" bestFit="1" customWidth="1"/>
    <col min="11273" max="11273" width="10.42578125" style="5" customWidth="1"/>
    <col min="11274" max="11274" width="9.42578125" style="5" customWidth="1"/>
    <col min="11275" max="11275" width="5.42578125" style="5" bestFit="1" customWidth="1"/>
    <col min="11276" max="11278" width="9.5703125" style="5" customWidth="1"/>
    <col min="11279" max="11280" width="0" style="5" hidden="1" customWidth="1"/>
    <col min="11281" max="11286" width="9.5703125" style="5" customWidth="1"/>
    <col min="11287" max="11288" width="10.42578125" style="5" customWidth="1"/>
    <col min="11289" max="11289" width="9.85546875" style="5" customWidth="1"/>
    <col min="11290" max="11290" width="9.140625" style="5"/>
    <col min="11291" max="11291" width="10.42578125" style="5" customWidth="1"/>
    <col min="11292" max="11520" width="9.140625" style="5"/>
    <col min="11521" max="11521" width="24" style="5" customWidth="1"/>
    <col min="11522" max="11522" width="10.140625" style="5" customWidth="1"/>
    <col min="11523" max="11523" width="4.5703125" style="5" customWidth="1"/>
    <col min="11524" max="11524" width="11.28515625" style="5" customWidth="1"/>
    <col min="11525" max="11525" width="5.5703125" style="5" customWidth="1"/>
    <col min="11526" max="11526" width="13" style="5" customWidth="1"/>
    <col min="11527" max="11527" width="8.7109375" style="5" customWidth="1"/>
    <col min="11528" max="11528" width="4.7109375" style="5" bestFit="1" customWidth="1"/>
    <col min="11529" max="11529" width="10.42578125" style="5" customWidth="1"/>
    <col min="11530" max="11530" width="9.42578125" style="5" customWidth="1"/>
    <col min="11531" max="11531" width="5.42578125" style="5" bestFit="1" customWidth="1"/>
    <col min="11532" max="11534" width="9.5703125" style="5" customWidth="1"/>
    <col min="11535" max="11536" width="0" style="5" hidden="1" customWidth="1"/>
    <col min="11537" max="11542" width="9.5703125" style="5" customWidth="1"/>
    <col min="11543" max="11544" width="10.42578125" style="5" customWidth="1"/>
    <col min="11545" max="11545" width="9.85546875" style="5" customWidth="1"/>
    <col min="11546" max="11546" width="9.140625" style="5"/>
    <col min="11547" max="11547" width="10.42578125" style="5" customWidth="1"/>
    <col min="11548" max="11776" width="9.140625" style="5"/>
    <col min="11777" max="11777" width="24" style="5" customWidth="1"/>
    <col min="11778" max="11778" width="10.140625" style="5" customWidth="1"/>
    <col min="11779" max="11779" width="4.5703125" style="5" customWidth="1"/>
    <col min="11780" max="11780" width="11.28515625" style="5" customWidth="1"/>
    <col min="11781" max="11781" width="5.5703125" style="5" customWidth="1"/>
    <col min="11782" max="11782" width="13" style="5" customWidth="1"/>
    <col min="11783" max="11783" width="8.7109375" style="5" customWidth="1"/>
    <col min="11784" max="11784" width="4.7109375" style="5" bestFit="1" customWidth="1"/>
    <col min="11785" max="11785" width="10.42578125" style="5" customWidth="1"/>
    <col min="11786" max="11786" width="9.42578125" style="5" customWidth="1"/>
    <col min="11787" max="11787" width="5.42578125" style="5" bestFit="1" customWidth="1"/>
    <col min="11788" max="11790" width="9.5703125" style="5" customWidth="1"/>
    <col min="11791" max="11792" width="0" style="5" hidden="1" customWidth="1"/>
    <col min="11793" max="11798" width="9.5703125" style="5" customWidth="1"/>
    <col min="11799" max="11800" width="10.42578125" style="5" customWidth="1"/>
    <col min="11801" max="11801" width="9.85546875" style="5" customWidth="1"/>
    <col min="11802" max="11802" width="9.140625" style="5"/>
    <col min="11803" max="11803" width="10.42578125" style="5" customWidth="1"/>
    <col min="11804" max="12032" width="9.140625" style="5"/>
    <col min="12033" max="12033" width="24" style="5" customWidth="1"/>
    <col min="12034" max="12034" width="10.140625" style="5" customWidth="1"/>
    <col min="12035" max="12035" width="4.5703125" style="5" customWidth="1"/>
    <col min="12036" max="12036" width="11.28515625" style="5" customWidth="1"/>
    <col min="12037" max="12037" width="5.5703125" style="5" customWidth="1"/>
    <col min="12038" max="12038" width="13" style="5" customWidth="1"/>
    <col min="12039" max="12039" width="8.7109375" style="5" customWidth="1"/>
    <col min="12040" max="12040" width="4.7109375" style="5" bestFit="1" customWidth="1"/>
    <col min="12041" max="12041" width="10.42578125" style="5" customWidth="1"/>
    <col min="12042" max="12042" width="9.42578125" style="5" customWidth="1"/>
    <col min="12043" max="12043" width="5.42578125" style="5" bestFit="1" customWidth="1"/>
    <col min="12044" max="12046" width="9.5703125" style="5" customWidth="1"/>
    <col min="12047" max="12048" width="0" style="5" hidden="1" customWidth="1"/>
    <col min="12049" max="12054" width="9.5703125" style="5" customWidth="1"/>
    <col min="12055" max="12056" width="10.42578125" style="5" customWidth="1"/>
    <col min="12057" max="12057" width="9.85546875" style="5" customWidth="1"/>
    <col min="12058" max="12058" width="9.140625" style="5"/>
    <col min="12059" max="12059" width="10.42578125" style="5" customWidth="1"/>
    <col min="12060" max="12288" width="9.140625" style="5"/>
    <col min="12289" max="12289" width="24" style="5" customWidth="1"/>
    <col min="12290" max="12290" width="10.140625" style="5" customWidth="1"/>
    <col min="12291" max="12291" width="4.5703125" style="5" customWidth="1"/>
    <col min="12292" max="12292" width="11.28515625" style="5" customWidth="1"/>
    <col min="12293" max="12293" width="5.5703125" style="5" customWidth="1"/>
    <col min="12294" max="12294" width="13" style="5" customWidth="1"/>
    <col min="12295" max="12295" width="8.7109375" style="5" customWidth="1"/>
    <col min="12296" max="12296" width="4.7109375" style="5" bestFit="1" customWidth="1"/>
    <col min="12297" max="12297" width="10.42578125" style="5" customWidth="1"/>
    <col min="12298" max="12298" width="9.42578125" style="5" customWidth="1"/>
    <col min="12299" max="12299" width="5.42578125" style="5" bestFit="1" customWidth="1"/>
    <col min="12300" max="12302" width="9.5703125" style="5" customWidth="1"/>
    <col min="12303" max="12304" width="0" style="5" hidden="1" customWidth="1"/>
    <col min="12305" max="12310" width="9.5703125" style="5" customWidth="1"/>
    <col min="12311" max="12312" width="10.42578125" style="5" customWidth="1"/>
    <col min="12313" max="12313" width="9.85546875" style="5" customWidth="1"/>
    <col min="12314" max="12314" width="9.140625" style="5"/>
    <col min="12315" max="12315" width="10.42578125" style="5" customWidth="1"/>
    <col min="12316" max="12544" width="9.140625" style="5"/>
    <col min="12545" max="12545" width="24" style="5" customWidth="1"/>
    <col min="12546" max="12546" width="10.140625" style="5" customWidth="1"/>
    <col min="12547" max="12547" width="4.5703125" style="5" customWidth="1"/>
    <col min="12548" max="12548" width="11.28515625" style="5" customWidth="1"/>
    <col min="12549" max="12549" width="5.5703125" style="5" customWidth="1"/>
    <col min="12550" max="12550" width="13" style="5" customWidth="1"/>
    <col min="12551" max="12551" width="8.7109375" style="5" customWidth="1"/>
    <col min="12552" max="12552" width="4.7109375" style="5" bestFit="1" customWidth="1"/>
    <col min="12553" max="12553" width="10.42578125" style="5" customWidth="1"/>
    <col min="12554" max="12554" width="9.42578125" style="5" customWidth="1"/>
    <col min="12555" max="12555" width="5.42578125" style="5" bestFit="1" customWidth="1"/>
    <col min="12556" max="12558" width="9.5703125" style="5" customWidth="1"/>
    <col min="12559" max="12560" width="0" style="5" hidden="1" customWidth="1"/>
    <col min="12561" max="12566" width="9.5703125" style="5" customWidth="1"/>
    <col min="12567" max="12568" width="10.42578125" style="5" customWidth="1"/>
    <col min="12569" max="12569" width="9.85546875" style="5" customWidth="1"/>
    <col min="12570" max="12570" width="9.140625" style="5"/>
    <col min="12571" max="12571" width="10.42578125" style="5" customWidth="1"/>
    <col min="12572" max="12800" width="9.140625" style="5"/>
    <col min="12801" max="12801" width="24" style="5" customWidth="1"/>
    <col min="12802" max="12802" width="10.140625" style="5" customWidth="1"/>
    <col min="12803" max="12803" width="4.5703125" style="5" customWidth="1"/>
    <col min="12804" max="12804" width="11.28515625" style="5" customWidth="1"/>
    <col min="12805" max="12805" width="5.5703125" style="5" customWidth="1"/>
    <col min="12806" max="12806" width="13" style="5" customWidth="1"/>
    <col min="12807" max="12807" width="8.7109375" style="5" customWidth="1"/>
    <col min="12808" max="12808" width="4.7109375" style="5" bestFit="1" customWidth="1"/>
    <col min="12809" max="12809" width="10.42578125" style="5" customWidth="1"/>
    <col min="12810" max="12810" width="9.42578125" style="5" customWidth="1"/>
    <col min="12811" max="12811" width="5.42578125" style="5" bestFit="1" customWidth="1"/>
    <col min="12812" max="12814" width="9.5703125" style="5" customWidth="1"/>
    <col min="12815" max="12816" width="0" style="5" hidden="1" customWidth="1"/>
    <col min="12817" max="12822" width="9.5703125" style="5" customWidth="1"/>
    <col min="12823" max="12824" width="10.42578125" style="5" customWidth="1"/>
    <col min="12825" max="12825" width="9.85546875" style="5" customWidth="1"/>
    <col min="12826" max="12826" width="9.140625" style="5"/>
    <col min="12827" max="12827" width="10.42578125" style="5" customWidth="1"/>
    <col min="12828" max="13056" width="9.140625" style="5"/>
    <col min="13057" max="13057" width="24" style="5" customWidth="1"/>
    <col min="13058" max="13058" width="10.140625" style="5" customWidth="1"/>
    <col min="13059" max="13059" width="4.5703125" style="5" customWidth="1"/>
    <col min="13060" max="13060" width="11.28515625" style="5" customWidth="1"/>
    <col min="13061" max="13061" width="5.5703125" style="5" customWidth="1"/>
    <col min="13062" max="13062" width="13" style="5" customWidth="1"/>
    <col min="13063" max="13063" width="8.7109375" style="5" customWidth="1"/>
    <col min="13064" max="13064" width="4.7109375" style="5" bestFit="1" customWidth="1"/>
    <col min="13065" max="13065" width="10.42578125" style="5" customWidth="1"/>
    <col min="13066" max="13066" width="9.42578125" style="5" customWidth="1"/>
    <col min="13067" max="13067" width="5.42578125" style="5" bestFit="1" customWidth="1"/>
    <col min="13068" max="13070" width="9.5703125" style="5" customWidth="1"/>
    <col min="13071" max="13072" width="0" style="5" hidden="1" customWidth="1"/>
    <col min="13073" max="13078" width="9.5703125" style="5" customWidth="1"/>
    <col min="13079" max="13080" width="10.42578125" style="5" customWidth="1"/>
    <col min="13081" max="13081" width="9.85546875" style="5" customWidth="1"/>
    <col min="13082" max="13082" width="9.140625" style="5"/>
    <col min="13083" max="13083" width="10.42578125" style="5" customWidth="1"/>
    <col min="13084" max="13312" width="9.140625" style="5"/>
    <col min="13313" max="13313" width="24" style="5" customWidth="1"/>
    <col min="13314" max="13314" width="10.140625" style="5" customWidth="1"/>
    <col min="13315" max="13315" width="4.5703125" style="5" customWidth="1"/>
    <col min="13316" max="13316" width="11.28515625" style="5" customWidth="1"/>
    <col min="13317" max="13317" width="5.5703125" style="5" customWidth="1"/>
    <col min="13318" max="13318" width="13" style="5" customWidth="1"/>
    <col min="13319" max="13319" width="8.7109375" style="5" customWidth="1"/>
    <col min="13320" max="13320" width="4.7109375" style="5" bestFit="1" customWidth="1"/>
    <col min="13321" max="13321" width="10.42578125" style="5" customWidth="1"/>
    <col min="13322" max="13322" width="9.42578125" style="5" customWidth="1"/>
    <col min="13323" max="13323" width="5.42578125" style="5" bestFit="1" customWidth="1"/>
    <col min="13324" max="13326" width="9.5703125" style="5" customWidth="1"/>
    <col min="13327" max="13328" width="0" style="5" hidden="1" customWidth="1"/>
    <col min="13329" max="13334" width="9.5703125" style="5" customWidth="1"/>
    <col min="13335" max="13336" width="10.42578125" style="5" customWidth="1"/>
    <col min="13337" max="13337" width="9.85546875" style="5" customWidth="1"/>
    <col min="13338" max="13338" width="9.140625" style="5"/>
    <col min="13339" max="13339" width="10.42578125" style="5" customWidth="1"/>
    <col min="13340" max="13568" width="9.140625" style="5"/>
    <col min="13569" max="13569" width="24" style="5" customWidth="1"/>
    <col min="13570" max="13570" width="10.140625" style="5" customWidth="1"/>
    <col min="13571" max="13571" width="4.5703125" style="5" customWidth="1"/>
    <col min="13572" max="13572" width="11.28515625" style="5" customWidth="1"/>
    <col min="13573" max="13573" width="5.5703125" style="5" customWidth="1"/>
    <col min="13574" max="13574" width="13" style="5" customWidth="1"/>
    <col min="13575" max="13575" width="8.7109375" style="5" customWidth="1"/>
    <col min="13576" max="13576" width="4.7109375" style="5" bestFit="1" customWidth="1"/>
    <col min="13577" max="13577" width="10.42578125" style="5" customWidth="1"/>
    <col min="13578" max="13578" width="9.42578125" style="5" customWidth="1"/>
    <col min="13579" max="13579" width="5.42578125" style="5" bestFit="1" customWidth="1"/>
    <col min="13580" max="13582" width="9.5703125" style="5" customWidth="1"/>
    <col min="13583" max="13584" width="0" style="5" hidden="1" customWidth="1"/>
    <col min="13585" max="13590" width="9.5703125" style="5" customWidth="1"/>
    <col min="13591" max="13592" width="10.42578125" style="5" customWidth="1"/>
    <col min="13593" max="13593" width="9.85546875" style="5" customWidth="1"/>
    <col min="13594" max="13594" width="9.140625" style="5"/>
    <col min="13595" max="13595" width="10.42578125" style="5" customWidth="1"/>
    <col min="13596" max="13824" width="9.140625" style="5"/>
    <col min="13825" max="13825" width="24" style="5" customWidth="1"/>
    <col min="13826" max="13826" width="10.140625" style="5" customWidth="1"/>
    <col min="13827" max="13827" width="4.5703125" style="5" customWidth="1"/>
    <col min="13828" max="13828" width="11.28515625" style="5" customWidth="1"/>
    <col min="13829" max="13829" width="5.5703125" style="5" customWidth="1"/>
    <col min="13830" max="13830" width="13" style="5" customWidth="1"/>
    <col min="13831" max="13831" width="8.7109375" style="5" customWidth="1"/>
    <col min="13832" max="13832" width="4.7109375" style="5" bestFit="1" customWidth="1"/>
    <col min="13833" max="13833" width="10.42578125" style="5" customWidth="1"/>
    <col min="13834" max="13834" width="9.42578125" style="5" customWidth="1"/>
    <col min="13835" max="13835" width="5.42578125" style="5" bestFit="1" customWidth="1"/>
    <col min="13836" max="13838" width="9.5703125" style="5" customWidth="1"/>
    <col min="13839" max="13840" width="0" style="5" hidden="1" customWidth="1"/>
    <col min="13841" max="13846" width="9.5703125" style="5" customWidth="1"/>
    <col min="13847" max="13848" width="10.42578125" style="5" customWidth="1"/>
    <col min="13849" max="13849" width="9.85546875" style="5" customWidth="1"/>
    <col min="13850" max="13850" width="9.140625" style="5"/>
    <col min="13851" max="13851" width="10.42578125" style="5" customWidth="1"/>
    <col min="13852" max="14080" width="9.140625" style="5"/>
    <col min="14081" max="14081" width="24" style="5" customWidth="1"/>
    <col min="14082" max="14082" width="10.140625" style="5" customWidth="1"/>
    <col min="14083" max="14083" width="4.5703125" style="5" customWidth="1"/>
    <col min="14084" max="14084" width="11.28515625" style="5" customWidth="1"/>
    <col min="14085" max="14085" width="5.5703125" style="5" customWidth="1"/>
    <col min="14086" max="14086" width="13" style="5" customWidth="1"/>
    <col min="14087" max="14087" width="8.7109375" style="5" customWidth="1"/>
    <col min="14088" max="14088" width="4.7109375" style="5" bestFit="1" customWidth="1"/>
    <col min="14089" max="14089" width="10.42578125" style="5" customWidth="1"/>
    <col min="14090" max="14090" width="9.42578125" style="5" customWidth="1"/>
    <col min="14091" max="14091" width="5.42578125" style="5" bestFit="1" customWidth="1"/>
    <col min="14092" max="14094" width="9.5703125" style="5" customWidth="1"/>
    <col min="14095" max="14096" width="0" style="5" hidden="1" customWidth="1"/>
    <col min="14097" max="14102" width="9.5703125" style="5" customWidth="1"/>
    <col min="14103" max="14104" width="10.42578125" style="5" customWidth="1"/>
    <col min="14105" max="14105" width="9.85546875" style="5" customWidth="1"/>
    <col min="14106" max="14106" width="9.140625" style="5"/>
    <col min="14107" max="14107" width="10.42578125" style="5" customWidth="1"/>
    <col min="14108" max="14336" width="9.140625" style="5"/>
    <col min="14337" max="14337" width="24" style="5" customWidth="1"/>
    <col min="14338" max="14338" width="10.140625" style="5" customWidth="1"/>
    <col min="14339" max="14339" width="4.5703125" style="5" customWidth="1"/>
    <col min="14340" max="14340" width="11.28515625" style="5" customWidth="1"/>
    <col min="14341" max="14341" width="5.5703125" style="5" customWidth="1"/>
    <col min="14342" max="14342" width="13" style="5" customWidth="1"/>
    <col min="14343" max="14343" width="8.7109375" style="5" customWidth="1"/>
    <col min="14344" max="14344" width="4.7109375" style="5" bestFit="1" customWidth="1"/>
    <col min="14345" max="14345" width="10.42578125" style="5" customWidth="1"/>
    <col min="14346" max="14346" width="9.42578125" style="5" customWidth="1"/>
    <col min="14347" max="14347" width="5.42578125" style="5" bestFit="1" customWidth="1"/>
    <col min="14348" max="14350" width="9.5703125" style="5" customWidth="1"/>
    <col min="14351" max="14352" width="0" style="5" hidden="1" customWidth="1"/>
    <col min="14353" max="14358" width="9.5703125" style="5" customWidth="1"/>
    <col min="14359" max="14360" width="10.42578125" style="5" customWidth="1"/>
    <col min="14361" max="14361" width="9.85546875" style="5" customWidth="1"/>
    <col min="14362" max="14362" width="9.140625" style="5"/>
    <col min="14363" max="14363" width="10.42578125" style="5" customWidth="1"/>
    <col min="14364" max="14592" width="9.140625" style="5"/>
    <col min="14593" max="14593" width="24" style="5" customWidth="1"/>
    <col min="14594" max="14594" width="10.140625" style="5" customWidth="1"/>
    <col min="14595" max="14595" width="4.5703125" style="5" customWidth="1"/>
    <col min="14596" max="14596" width="11.28515625" style="5" customWidth="1"/>
    <col min="14597" max="14597" width="5.5703125" style="5" customWidth="1"/>
    <col min="14598" max="14598" width="13" style="5" customWidth="1"/>
    <col min="14599" max="14599" width="8.7109375" style="5" customWidth="1"/>
    <col min="14600" max="14600" width="4.7109375" style="5" bestFit="1" customWidth="1"/>
    <col min="14601" max="14601" width="10.42578125" style="5" customWidth="1"/>
    <col min="14602" max="14602" width="9.42578125" style="5" customWidth="1"/>
    <col min="14603" max="14603" width="5.42578125" style="5" bestFit="1" customWidth="1"/>
    <col min="14604" max="14606" width="9.5703125" style="5" customWidth="1"/>
    <col min="14607" max="14608" width="0" style="5" hidden="1" customWidth="1"/>
    <col min="14609" max="14614" width="9.5703125" style="5" customWidth="1"/>
    <col min="14615" max="14616" width="10.42578125" style="5" customWidth="1"/>
    <col min="14617" max="14617" width="9.85546875" style="5" customWidth="1"/>
    <col min="14618" max="14618" width="9.140625" style="5"/>
    <col min="14619" max="14619" width="10.42578125" style="5" customWidth="1"/>
    <col min="14620" max="14848" width="9.140625" style="5"/>
    <col min="14849" max="14849" width="24" style="5" customWidth="1"/>
    <col min="14850" max="14850" width="10.140625" style="5" customWidth="1"/>
    <col min="14851" max="14851" width="4.5703125" style="5" customWidth="1"/>
    <col min="14852" max="14852" width="11.28515625" style="5" customWidth="1"/>
    <col min="14853" max="14853" width="5.5703125" style="5" customWidth="1"/>
    <col min="14854" max="14854" width="13" style="5" customWidth="1"/>
    <col min="14855" max="14855" width="8.7109375" style="5" customWidth="1"/>
    <col min="14856" max="14856" width="4.7109375" style="5" bestFit="1" customWidth="1"/>
    <col min="14857" max="14857" width="10.42578125" style="5" customWidth="1"/>
    <col min="14858" max="14858" width="9.42578125" style="5" customWidth="1"/>
    <col min="14859" max="14859" width="5.42578125" style="5" bestFit="1" customWidth="1"/>
    <col min="14860" max="14862" width="9.5703125" style="5" customWidth="1"/>
    <col min="14863" max="14864" width="0" style="5" hidden="1" customWidth="1"/>
    <col min="14865" max="14870" width="9.5703125" style="5" customWidth="1"/>
    <col min="14871" max="14872" width="10.42578125" style="5" customWidth="1"/>
    <col min="14873" max="14873" width="9.85546875" style="5" customWidth="1"/>
    <col min="14874" max="14874" width="9.140625" style="5"/>
    <col min="14875" max="14875" width="10.42578125" style="5" customWidth="1"/>
    <col min="14876" max="15104" width="9.140625" style="5"/>
    <col min="15105" max="15105" width="24" style="5" customWidth="1"/>
    <col min="15106" max="15106" width="10.140625" style="5" customWidth="1"/>
    <col min="15107" max="15107" width="4.5703125" style="5" customWidth="1"/>
    <col min="15108" max="15108" width="11.28515625" style="5" customWidth="1"/>
    <col min="15109" max="15109" width="5.5703125" style="5" customWidth="1"/>
    <col min="15110" max="15110" width="13" style="5" customWidth="1"/>
    <col min="15111" max="15111" width="8.7109375" style="5" customWidth="1"/>
    <col min="15112" max="15112" width="4.7109375" style="5" bestFit="1" customWidth="1"/>
    <col min="15113" max="15113" width="10.42578125" style="5" customWidth="1"/>
    <col min="15114" max="15114" width="9.42578125" style="5" customWidth="1"/>
    <col min="15115" max="15115" width="5.42578125" style="5" bestFit="1" customWidth="1"/>
    <col min="15116" max="15118" width="9.5703125" style="5" customWidth="1"/>
    <col min="15119" max="15120" width="0" style="5" hidden="1" customWidth="1"/>
    <col min="15121" max="15126" width="9.5703125" style="5" customWidth="1"/>
    <col min="15127" max="15128" width="10.42578125" style="5" customWidth="1"/>
    <col min="15129" max="15129" width="9.85546875" style="5" customWidth="1"/>
    <col min="15130" max="15130" width="9.140625" style="5"/>
    <col min="15131" max="15131" width="10.42578125" style="5" customWidth="1"/>
    <col min="15132" max="15360" width="9.140625" style="5"/>
    <col min="15361" max="15361" width="24" style="5" customWidth="1"/>
    <col min="15362" max="15362" width="10.140625" style="5" customWidth="1"/>
    <col min="15363" max="15363" width="4.5703125" style="5" customWidth="1"/>
    <col min="15364" max="15364" width="11.28515625" style="5" customWidth="1"/>
    <col min="15365" max="15365" width="5.5703125" style="5" customWidth="1"/>
    <col min="15366" max="15366" width="13" style="5" customWidth="1"/>
    <col min="15367" max="15367" width="8.7109375" style="5" customWidth="1"/>
    <col min="15368" max="15368" width="4.7109375" style="5" bestFit="1" customWidth="1"/>
    <col min="15369" max="15369" width="10.42578125" style="5" customWidth="1"/>
    <col min="15370" max="15370" width="9.42578125" style="5" customWidth="1"/>
    <col min="15371" max="15371" width="5.42578125" style="5" bestFit="1" customWidth="1"/>
    <col min="15372" max="15374" width="9.5703125" style="5" customWidth="1"/>
    <col min="15375" max="15376" width="0" style="5" hidden="1" customWidth="1"/>
    <col min="15377" max="15382" width="9.5703125" style="5" customWidth="1"/>
    <col min="15383" max="15384" width="10.42578125" style="5" customWidth="1"/>
    <col min="15385" max="15385" width="9.85546875" style="5" customWidth="1"/>
    <col min="15386" max="15386" width="9.140625" style="5"/>
    <col min="15387" max="15387" width="10.42578125" style="5" customWidth="1"/>
    <col min="15388" max="15616" width="9.140625" style="5"/>
    <col min="15617" max="15617" width="24" style="5" customWidth="1"/>
    <col min="15618" max="15618" width="10.140625" style="5" customWidth="1"/>
    <col min="15619" max="15619" width="4.5703125" style="5" customWidth="1"/>
    <col min="15620" max="15620" width="11.28515625" style="5" customWidth="1"/>
    <col min="15621" max="15621" width="5.5703125" style="5" customWidth="1"/>
    <col min="15622" max="15622" width="13" style="5" customWidth="1"/>
    <col min="15623" max="15623" width="8.7109375" style="5" customWidth="1"/>
    <col min="15624" max="15624" width="4.7109375" style="5" bestFit="1" customWidth="1"/>
    <col min="15625" max="15625" width="10.42578125" style="5" customWidth="1"/>
    <col min="15626" max="15626" width="9.42578125" style="5" customWidth="1"/>
    <col min="15627" max="15627" width="5.42578125" style="5" bestFit="1" customWidth="1"/>
    <col min="15628" max="15630" width="9.5703125" style="5" customWidth="1"/>
    <col min="15631" max="15632" width="0" style="5" hidden="1" customWidth="1"/>
    <col min="15633" max="15638" width="9.5703125" style="5" customWidth="1"/>
    <col min="15639" max="15640" width="10.42578125" style="5" customWidth="1"/>
    <col min="15641" max="15641" width="9.85546875" style="5" customWidth="1"/>
    <col min="15642" max="15642" width="9.140625" style="5"/>
    <col min="15643" max="15643" width="10.42578125" style="5" customWidth="1"/>
    <col min="15644" max="15872" width="9.140625" style="5"/>
    <col min="15873" max="15873" width="24" style="5" customWidth="1"/>
    <col min="15874" max="15874" width="10.140625" style="5" customWidth="1"/>
    <col min="15875" max="15875" width="4.5703125" style="5" customWidth="1"/>
    <col min="15876" max="15876" width="11.28515625" style="5" customWidth="1"/>
    <col min="15877" max="15877" width="5.5703125" style="5" customWidth="1"/>
    <col min="15878" max="15878" width="13" style="5" customWidth="1"/>
    <col min="15879" max="15879" width="8.7109375" style="5" customWidth="1"/>
    <col min="15880" max="15880" width="4.7109375" style="5" bestFit="1" customWidth="1"/>
    <col min="15881" max="15881" width="10.42578125" style="5" customWidth="1"/>
    <col min="15882" max="15882" width="9.42578125" style="5" customWidth="1"/>
    <col min="15883" max="15883" width="5.42578125" style="5" bestFit="1" customWidth="1"/>
    <col min="15884" max="15886" width="9.5703125" style="5" customWidth="1"/>
    <col min="15887" max="15888" width="0" style="5" hidden="1" customWidth="1"/>
    <col min="15889" max="15894" width="9.5703125" style="5" customWidth="1"/>
    <col min="15895" max="15896" width="10.42578125" style="5" customWidth="1"/>
    <col min="15897" max="15897" width="9.85546875" style="5" customWidth="1"/>
    <col min="15898" max="15898" width="9.140625" style="5"/>
    <col min="15899" max="15899" width="10.42578125" style="5" customWidth="1"/>
    <col min="15900" max="16128" width="9.140625" style="5"/>
    <col min="16129" max="16129" width="24" style="5" customWidth="1"/>
    <col min="16130" max="16130" width="10.140625" style="5" customWidth="1"/>
    <col min="16131" max="16131" width="4.5703125" style="5" customWidth="1"/>
    <col min="16132" max="16132" width="11.28515625" style="5" customWidth="1"/>
    <col min="16133" max="16133" width="5.5703125" style="5" customWidth="1"/>
    <col min="16134" max="16134" width="13" style="5" customWidth="1"/>
    <col min="16135" max="16135" width="8.7109375" style="5" customWidth="1"/>
    <col min="16136" max="16136" width="4.7109375" style="5" bestFit="1" customWidth="1"/>
    <col min="16137" max="16137" width="10.42578125" style="5" customWidth="1"/>
    <col min="16138" max="16138" width="9.42578125" style="5" customWidth="1"/>
    <col min="16139" max="16139" width="5.42578125" style="5" bestFit="1" customWidth="1"/>
    <col min="16140" max="16142" width="9.5703125" style="5" customWidth="1"/>
    <col min="16143" max="16144" width="0" style="5" hidden="1" customWidth="1"/>
    <col min="16145" max="16150" width="9.5703125" style="5" customWidth="1"/>
    <col min="16151" max="16152" width="10.42578125" style="5" customWidth="1"/>
    <col min="16153" max="16153" width="9.85546875" style="5" customWidth="1"/>
    <col min="16154" max="16154" width="9.140625" style="5"/>
    <col min="16155" max="16155" width="10.42578125" style="5" customWidth="1"/>
    <col min="16156" max="16384" width="9.140625" style="5"/>
  </cols>
  <sheetData>
    <row r="1" spans="1:27" x14ac:dyDescent="0.2">
      <c r="A1" s="1" t="s">
        <v>0</v>
      </c>
      <c r="B1" s="2"/>
      <c r="C1" s="2"/>
      <c r="D1" s="2"/>
      <c r="E1" s="2"/>
      <c r="F1" s="2"/>
      <c r="G1" s="3"/>
      <c r="H1" s="2"/>
      <c r="I1" s="2"/>
      <c r="J1" s="1" t="s">
        <v>58</v>
      </c>
      <c r="K1" s="2"/>
      <c r="L1" s="2"/>
      <c r="M1" s="2"/>
      <c r="N1" s="2"/>
      <c r="O1" s="2"/>
      <c r="P1" s="2"/>
      <c r="Q1" s="2"/>
      <c r="R1" s="2"/>
      <c r="S1" s="2"/>
      <c r="T1" s="2"/>
      <c r="U1" s="2"/>
      <c r="V1" s="2"/>
      <c r="W1" s="4"/>
      <c r="X1" s="4"/>
      <c r="Y1" s="4"/>
      <c r="Z1" s="4"/>
      <c r="AA1" s="4"/>
    </row>
    <row r="2" spans="1:27" x14ac:dyDescent="0.2">
      <c r="A2" s="6" t="s">
        <v>1</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2019</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2</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3</v>
      </c>
      <c r="G5" s="11"/>
      <c r="H5" s="11"/>
      <c r="I5" s="11"/>
      <c r="J5" s="11"/>
      <c r="K5" s="11"/>
      <c r="L5" s="2"/>
      <c r="M5" s="2"/>
      <c r="N5" s="2"/>
      <c r="O5" s="114" t="str">
        <f>"Total "&amp;F5</f>
        <v>Total Commodity</v>
      </c>
      <c r="P5" s="115"/>
      <c r="Q5" s="2"/>
      <c r="R5" s="2"/>
      <c r="S5" s="2"/>
      <c r="T5" s="2"/>
      <c r="U5" s="2"/>
      <c r="V5" s="13"/>
      <c r="W5" s="14"/>
      <c r="X5" s="14"/>
      <c r="Y5" s="14"/>
      <c r="AA5" s="14"/>
    </row>
    <row r="6" spans="1:27" s="16" customFormat="1" ht="11.25" x14ac:dyDescent="0.2">
      <c r="A6" s="15"/>
      <c r="B6" s="12"/>
      <c r="C6" s="12"/>
      <c r="D6" s="12" t="s">
        <v>3</v>
      </c>
      <c r="E6" s="12"/>
      <c r="F6" s="12" t="s">
        <v>4</v>
      </c>
      <c r="G6" s="12"/>
      <c r="H6" s="12"/>
      <c r="I6" s="12"/>
      <c r="J6" s="12" t="s">
        <v>5</v>
      </c>
      <c r="K6" s="12"/>
      <c r="O6" s="116" t="str">
        <f>+F6</f>
        <v>Revenue</v>
      </c>
      <c r="P6" s="117"/>
    </row>
    <row r="7" spans="1:27" s="16" customFormat="1" ht="11.25" x14ac:dyDescent="0.2">
      <c r="A7" s="15" t="s">
        <v>6</v>
      </c>
      <c r="B7" s="12" t="s">
        <v>7</v>
      </c>
      <c r="C7" s="12"/>
      <c r="D7" s="12" t="s">
        <v>4</v>
      </c>
      <c r="E7" s="12"/>
      <c r="F7" s="12" t="s">
        <v>8</v>
      </c>
      <c r="G7" s="12"/>
      <c r="H7" s="12"/>
      <c r="I7" s="12"/>
      <c r="J7" s="12" t="s">
        <v>7</v>
      </c>
      <c r="K7" s="12"/>
      <c r="O7" s="116" t="str">
        <f>+F7</f>
        <v>per Customer</v>
      </c>
      <c r="P7" s="117"/>
    </row>
    <row r="8" spans="1:27" s="16" customFormat="1" ht="11.25" x14ac:dyDescent="0.2">
      <c r="A8" s="17">
        <f>+'[12]Single Family'!C6</f>
        <v>43221</v>
      </c>
      <c r="B8" s="358">
        <v>20539</v>
      </c>
      <c r="C8" s="19"/>
      <c r="D8" s="20">
        <f>VLOOKUP(A8,[12]Value!$A$6:$O$17,15,)</f>
        <v>635.85345761999361</v>
      </c>
      <c r="E8" s="19"/>
      <c r="F8" s="73">
        <f>ROUND(D8/B8,2)</f>
        <v>0.03</v>
      </c>
      <c r="G8" s="19"/>
      <c r="H8" s="19"/>
      <c r="I8" s="19"/>
      <c r="J8" s="14">
        <f>+B8</f>
        <v>20539</v>
      </c>
      <c r="K8" s="13">
        <v>2017</v>
      </c>
      <c r="O8" s="118">
        <f>VLOOKUP(A8,[12]Value!$A$7:$N$18,13,FALSE)</f>
        <v>1271.7069152399872</v>
      </c>
      <c r="P8" s="117"/>
    </row>
    <row r="9" spans="1:27" s="16" customFormat="1" ht="11.25" x14ac:dyDescent="0.2">
      <c r="A9" s="17">
        <f>[12]Value!A8</f>
        <v>43281</v>
      </c>
      <c r="B9" s="358">
        <v>20706</v>
      </c>
      <c r="C9" s="22"/>
      <c r="D9" s="20">
        <f>VLOOKUP(A9,[12]Value!$A$6:$O$17,15,)</f>
        <v>4425.4364153999941</v>
      </c>
      <c r="E9" s="14"/>
      <c r="F9" s="70">
        <f>ROUND(D9/B9,2)</f>
        <v>0.21</v>
      </c>
      <c r="G9" s="14"/>
      <c r="H9" s="14"/>
      <c r="I9" s="14"/>
      <c r="J9" s="14">
        <f>+B9</f>
        <v>20706</v>
      </c>
      <c r="K9" s="13">
        <v>2017</v>
      </c>
      <c r="O9" s="118">
        <f>VLOOKUP(A9,[12]Value!$A$7:$N$18,13,FALSE)</f>
        <v>8850.8728307999882</v>
      </c>
      <c r="P9" s="117"/>
    </row>
    <row r="10" spans="1:27" s="16" customFormat="1" ht="11.25" x14ac:dyDescent="0.2">
      <c r="A10" s="17">
        <f>[12]Value!A9</f>
        <v>43312</v>
      </c>
      <c r="B10" s="358">
        <v>20749</v>
      </c>
      <c r="C10" s="14"/>
      <c r="D10" s="20">
        <f>VLOOKUP(A10,[12]Value!$A$6:$O$17,15,)</f>
        <v>6529.5722464699948</v>
      </c>
      <c r="E10" s="14"/>
      <c r="F10" s="70">
        <f>ROUND(D10/B10,2)</f>
        <v>0.31</v>
      </c>
      <c r="G10" s="14"/>
      <c r="H10" s="14"/>
      <c r="I10" s="14"/>
      <c r="J10" s="14">
        <f>+B10</f>
        <v>20749</v>
      </c>
      <c r="K10" s="13">
        <v>2017</v>
      </c>
      <c r="O10" s="118">
        <f>VLOOKUP(A10,[12]Value!$A$7:$N$18,13,FALSE)</f>
        <v>13059.14449293999</v>
      </c>
      <c r="P10" s="117"/>
    </row>
    <row r="11" spans="1:27" s="16" customFormat="1" ht="11.25" x14ac:dyDescent="0.2">
      <c r="B11" s="21"/>
      <c r="C11" s="14"/>
      <c r="E11" s="14"/>
      <c r="F11" s="73"/>
      <c r="G11" s="24"/>
      <c r="H11" s="22"/>
      <c r="I11" s="14"/>
      <c r="J11" s="14"/>
      <c r="K11" s="13"/>
      <c r="O11" s="118"/>
      <c r="P11" s="117"/>
    </row>
    <row r="12" spans="1:27" s="16" customFormat="1" ht="11.25" x14ac:dyDescent="0.2">
      <c r="A12" s="17" t="s">
        <v>66</v>
      </c>
      <c r="B12" s="23">
        <f>SUM(B8:B11)</f>
        <v>61994</v>
      </c>
      <c r="C12" s="22" t="s">
        <v>9</v>
      </c>
      <c r="D12" s="72">
        <f>SUM(D8:D11)</f>
        <v>11590.862119489982</v>
      </c>
      <c r="E12" s="14"/>
      <c r="F12" s="72">
        <f>ROUND(D12/B12,2)</f>
        <v>0.19</v>
      </c>
      <c r="G12" s="14"/>
      <c r="H12" s="14"/>
      <c r="I12" s="14"/>
      <c r="J12" s="14"/>
      <c r="K12" s="13"/>
      <c r="O12" s="118"/>
      <c r="P12" s="117"/>
    </row>
    <row r="13" spans="1:27" s="16" customFormat="1" ht="11.25" x14ac:dyDescent="0.2">
      <c r="A13" s="17"/>
      <c r="B13" s="21"/>
      <c r="C13" s="14"/>
      <c r="E13" s="14"/>
      <c r="F13" s="73"/>
      <c r="G13" s="24"/>
      <c r="H13" s="22"/>
      <c r="I13" s="14"/>
      <c r="J13" s="14"/>
      <c r="K13" s="13"/>
      <c r="O13" s="118"/>
      <c r="P13" s="117"/>
      <c r="Q13" s="14"/>
      <c r="R13" s="14"/>
    </row>
    <row r="14" spans="1:27" s="16" customFormat="1" ht="11.25" x14ac:dyDescent="0.2">
      <c r="A14" s="17">
        <f>[12]Value!A10</f>
        <v>43343</v>
      </c>
      <c r="B14" s="357">
        <v>20732</v>
      </c>
      <c r="C14" s="14"/>
      <c r="D14" s="20">
        <f>VLOOKUP(A14,[12]Value!$A$6:$O$17,15,)</f>
        <v>8059.8683445099923</v>
      </c>
      <c r="E14" s="14"/>
      <c r="F14" s="70">
        <f>ROUND(D14/B14,2)</f>
        <v>0.39</v>
      </c>
      <c r="G14" s="24"/>
      <c r="H14" s="14"/>
      <c r="I14" s="14"/>
      <c r="J14" s="14">
        <f t="shared" ref="J14:J22" si="0">+B14</f>
        <v>20732</v>
      </c>
      <c r="K14" s="13">
        <v>2018</v>
      </c>
      <c r="O14" s="118">
        <f>VLOOKUP(A14,[12]Value!$A$7:$N$18,13,FALSE)</f>
        <v>16119.736689019985</v>
      </c>
      <c r="P14" s="117"/>
    </row>
    <row r="15" spans="1:27" s="16" customFormat="1" ht="11.25" x14ac:dyDescent="0.2">
      <c r="A15" s="17">
        <f>[12]Value!A11</f>
        <v>43373</v>
      </c>
      <c r="B15" s="357">
        <v>20737</v>
      </c>
      <c r="C15" s="14"/>
      <c r="D15" s="20">
        <f>VLOOKUP(A15,[12]Value!$A$6:$O$17,15,)</f>
        <v>7277.7100247949929</v>
      </c>
      <c r="E15" s="14"/>
      <c r="F15" s="70">
        <f>ROUND(D15/B15,2)</f>
        <v>0.35</v>
      </c>
      <c r="G15" s="24"/>
      <c r="H15" s="14"/>
      <c r="I15" s="14"/>
      <c r="J15" s="14">
        <f t="shared" si="0"/>
        <v>20737</v>
      </c>
      <c r="K15" s="13">
        <v>2018</v>
      </c>
      <c r="O15" s="118">
        <f>VLOOKUP(A15,[12]Value!$A$7:$N$18,13,FALSE)</f>
        <v>14555.420049589986</v>
      </c>
      <c r="P15" s="117"/>
    </row>
    <row r="16" spans="1:27" s="16" customFormat="1" ht="11.25" x14ac:dyDescent="0.2">
      <c r="A16" s="17">
        <f>[12]Value!A12</f>
        <v>43404</v>
      </c>
      <c r="B16" s="357">
        <v>20756</v>
      </c>
      <c r="C16" s="14"/>
      <c r="D16" s="20">
        <f>VLOOKUP(A16,[12]Value!$A$6:$O$17,15,)</f>
        <v>8778.3077762099965</v>
      </c>
      <c r="E16" s="14"/>
      <c r="F16" s="70">
        <f>ROUND(D16/B16,2)</f>
        <v>0.42</v>
      </c>
      <c r="G16" s="24"/>
      <c r="H16" s="14"/>
      <c r="I16" s="14"/>
      <c r="J16" s="14">
        <f t="shared" si="0"/>
        <v>20756</v>
      </c>
      <c r="K16" s="13">
        <v>2018</v>
      </c>
      <c r="O16" s="118">
        <f>VLOOKUP(A16,[12]Value!$A$7:$N$18,13,FALSE)</f>
        <v>17556.615552419993</v>
      </c>
      <c r="P16" s="117"/>
      <c r="X16" s="14"/>
      <c r="Y16" s="14"/>
    </row>
    <row r="17" spans="1:27" s="16" customFormat="1" ht="11.25" x14ac:dyDescent="0.2">
      <c r="A17" s="17">
        <f>[12]Value!A13</f>
        <v>43434</v>
      </c>
      <c r="B17" s="357"/>
      <c r="C17" s="14"/>
      <c r="D17" s="20">
        <f>VLOOKUP(A17,[12]Value!$A$6:$O$17,15,)</f>
        <v>0</v>
      </c>
      <c r="E17" s="14"/>
      <c r="F17" s="70"/>
      <c r="G17" s="24"/>
      <c r="H17" s="14"/>
      <c r="I17" s="14"/>
      <c r="J17" s="14">
        <f t="shared" si="0"/>
        <v>0</v>
      </c>
      <c r="K17" s="13">
        <v>2018</v>
      </c>
      <c r="L17" s="14"/>
      <c r="M17" s="14"/>
      <c r="N17" s="14"/>
      <c r="O17" s="118">
        <f>VLOOKUP(A17,[12]Value!$A$7:$N$18,13,FALSE)</f>
        <v>0</v>
      </c>
      <c r="P17" s="117"/>
      <c r="S17" s="14"/>
      <c r="T17" s="14"/>
      <c r="U17" s="14"/>
      <c r="V17" s="14"/>
      <c r="W17" s="14"/>
      <c r="Y17" s="14"/>
      <c r="AA17" s="14"/>
    </row>
    <row r="18" spans="1:27" s="16" customFormat="1" ht="11.25" x14ac:dyDescent="0.2">
      <c r="A18" s="17">
        <f>[12]Value!A14</f>
        <v>43465</v>
      </c>
      <c r="B18" s="357"/>
      <c r="C18" s="14"/>
      <c r="D18" s="20">
        <f>VLOOKUP(A18,[12]Value!$A$6:$O$17,15,)</f>
        <v>0</v>
      </c>
      <c r="E18" s="14"/>
      <c r="F18" s="70"/>
      <c r="G18" s="24"/>
      <c r="H18" s="22"/>
      <c r="I18" s="14"/>
      <c r="J18" s="14">
        <f t="shared" si="0"/>
        <v>0</v>
      </c>
      <c r="K18" s="13">
        <v>2018</v>
      </c>
      <c r="O18" s="118">
        <f>VLOOKUP(A18,[12]Value!$A$7:$N$18,13,FALSE)</f>
        <v>0</v>
      </c>
      <c r="P18" s="117"/>
    </row>
    <row r="19" spans="1:27" s="16" customFormat="1" ht="11.25" x14ac:dyDescent="0.2">
      <c r="A19" s="17">
        <f>[12]Value!A15</f>
        <v>43496</v>
      </c>
      <c r="B19" s="357"/>
      <c r="C19" s="14"/>
      <c r="D19" s="20">
        <f>VLOOKUP(A19,[12]Value!$A$6:$O$17,15,)</f>
        <v>0</v>
      </c>
      <c r="E19" s="14"/>
      <c r="F19" s="70"/>
      <c r="G19" s="24"/>
      <c r="H19" s="22"/>
      <c r="I19" s="14"/>
      <c r="J19" s="14">
        <f t="shared" si="0"/>
        <v>0</v>
      </c>
      <c r="K19" s="13">
        <v>2018</v>
      </c>
      <c r="O19" s="118">
        <f>VLOOKUP(A19,[12]Value!$A$7:$N$18,13,FALSE)</f>
        <v>0</v>
      </c>
      <c r="P19" s="117"/>
    </row>
    <row r="20" spans="1:27" s="16" customFormat="1" ht="11.25" x14ac:dyDescent="0.2">
      <c r="A20" s="17">
        <f>[12]Value!A16</f>
        <v>43524</v>
      </c>
      <c r="B20" s="357"/>
      <c r="C20" s="14"/>
      <c r="D20" s="20">
        <f>VLOOKUP(A20,[12]Value!$A$6:$O$17,15,)</f>
        <v>0</v>
      </c>
      <c r="E20" s="14"/>
      <c r="F20" s="70"/>
      <c r="G20" s="24"/>
      <c r="H20" s="22"/>
      <c r="I20" s="14"/>
      <c r="J20" s="14">
        <f t="shared" si="0"/>
        <v>0</v>
      </c>
      <c r="K20" s="13">
        <v>2018</v>
      </c>
      <c r="O20" s="118">
        <f>VLOOKUP(A20,[12]Value!$A$7:$N$18,13,FALSE)</f>
        <v>0</v>
      </c>
      <c r="P20" s="34"/>
    </row>
    <row r="21" spans="1:27" s="16" customFormat="1" ht="11.25" x14ac:dyDescent="0.2">
      <c r="A21" s="17">
        <f>[12]Value!A17</f>
        <v>43555</v>
      </c>
      <c r="B21" s="357"/>
      <c r="C21" s="14"/>
      <c r="D21" s="20">
        <f>VLOOKUP(A21,[12]Value!$A$6:$O$17,15,)</f>
        <v>0</v>
      </c>
      <c r="E21" s="14"/>
      <c r="F21" s="70"/>
      <c r="G21" s="24"/>
      <c r="H21" s="22"/>
      <c r="I21" s="14"/>
      <c r="J21" s="14">
        <f t="shared" si="0"/>
        <v>0</v>
      </c>
      <c r="K21" s="13">
        <v>2018</v>
      </c>
      <c r="O21" s="118">
        <f>VLOOKUP(A21,[12]Value!$A$7:$N$18,13,FALSE)</f>
        <v>0</v>
      </c>
      <c r="P21" s="117"/>
    </row>
    <row r="22" spans="1:27" s="16" customFormat="1" ht="11.25" x14ac:dyDescent="0.2">
      <c r="A22" s="17">
        <f>[12]Value!A18</f>
        <v>43585</v>
      </c>
      <c r="B22" s="357"/>
      <c r="C22" s="14"/>
      <c r="D22" s="20">
        <f>[12]Value!O18</f>
        <v>0</v>
      </c>
      <c r="E22" s="14"/>
      <c r="F22" s="70"/>
      <c r="G22" s="24"/>
      <c r="H22" s="22"/>
      <c r="I22" s="14"/>
      <c r="J22" s="14">
        <f t="shared" si="0"/>
        <v>0</v>
      </c>
      <c r="K22" s="13">
        <v>2018</v>
      </c>
      <c r="O22" s="118">
        <f>VLOOKUP(A22,[12]Value!$A$7:$N$18,13,FALSE)</f>
        <v>0</v>
      </c>
      <c r="P22" s="117"/>
    </row>
    <row r="23" spans="1:27" s="16" customFormat="1" ht="11.25" x14ac:dyDescent="0.2">
      <c r="A23" s="17"/>
      <c r="B23" s="14"/>
      <c r="C23" s="14"/>
      <c r="E23" s="14"/>
      <c r="F23" s="73"/>
      <c r="G23" s="14"/>
      <c r="H23" s="14"/>
      <c r="I23" s="14"/>
      <c r="J23" s="14"/>
      <c r="K23" s="13"/>
      <c r="O23" s="119"/>
    </row>
    <row r="24" spans="1:27" s="16" customFormat="1" ht="11.25" x14ac:dyDescent="0.2">
      <c r="A24" s="17" t="s">
        <v>65</v>
      </c>
      <c r="B24" s="23">
        <f>SUM(B14:B23)</f>
        <v>62225</v>
      </c>
      <c r="C24" s="22" t="s">
        <v>10</v>
      </c>
      <c r="D24" s="72">
        <f>SUM(D14:D23)</f>
        <v>24115.886145514982</v>
      </c>
      <c r="E24" s="14"/>
      <c r="F24" s="72">
        <f>D24/B24</f>
        <v>0.38755943986363972</v>
      </c>
      <c r="G24" s="14"/>
      <c r="H24" s="14"/>
      <c r="I24" s="14"/>
      <c r="J24" s="14"/>
      <c r="K24" s="13"/>
      <c r="O24" s="119"/>
      <c r="P24" s="120" t="s">
        <v>59</v>
      </c>
    </row>
    <row r="25" spans="1:27" x14ac:dyDescent="0.2">
      <c r="D25" s="25"/>
      <c r="F25" s="25"/>
      <c r="O25" s="119">
        <f>SUM(O8:O24)</f>
        <v>71413.496530009928</v>
      </c>
      <c r="P25" s="121"/>
      <c r="Q25" s="16"/>
      <c r="R25" s="16"/>
    </row>
    <row r="26" spans="1:27" s="16" customFormat="1" ht="12" thickBot="1" x14ac:dyDescent="0.25">
      <c r="A26" s="26"/>
      <c r="B26" s="27">
        <f>+B12+B24</f>
        <v>124219</v>
      </c>
      <c r="C26" s="22"/>
      <c r="D26" s="71">
        <f>+D12+D24</f>
        <v>35706.748265004964</v>
      </c>
      <c r="E26" s="22" t="s">
        <v>11</v>
      </c>
      <c r="F26" s="111">
        <f>ROUND(D26/B26,3)</f>
        <v>0.28699999999999998</v>
      </c>
      <c r="H26" s="14"/>
      <c r="I26" s="14"/>
      <c r="J26" s="27">
        <f>SUM(J8:J25)</f>
        <v>124219</v>
      </c>
      <c r="K26" s="22" t="s">
        <v>13</v>
      </c>
      <c r="O26" s="122">
        <f>ROUND(O25/J26,3)</f>
        <v>0.57499999999999996</v>
      </c>
      <c r="P26" s="117" t="s">
        <v>60</v>
      </c>
    </row>
    <row r="27" spans="1:27" s="16" customFormat="1" ht="12" thickTop="1" x14ac:dyDescent="0.2">
      <c r="B27" s="14"/>
      <c r="C27" s="14"/>
      <c r="D27" s="14"/>
      <c r="E27" s="14"/>
      <c r="F27" s="14"/>
      <c r="G27" s="14"/>
      <c r="H27" s="14"/>
      <c r="I27" s="14"/>
      <c r="J27" s="14"/>
      <c r="K27" s="14"/>
      <c r="O27" s="123">
        <f>+J22</f>
        <v>0</v>
      </c>
      <c r="P27" s="117" t="s">
        <v>61</v>
      </c>
    </row>
    <row r="28" spans="1:27" s="16" customFormat="1" ht="11.25" x14ac:dyDescent="0.2">
      <c r="B28" s="14"/>
      <c r="C28" s="14"/>
      <c r="D28" s="14"/>
      <c r="E28" s="14"/>
      <c r="F28" s="14"/>
      <c r="G28" s="14"/>
      <c r="H28" s="14"/>
      <c r="I28" s="14"/>
      <c r="J28" s="14"/>
      <c r="K28" s="14"/>
      <c r="O28" s="117"/>
      <c r="P28" s="117" t="s">
        <v>62</v>
      </c>
    </row>
    <row r="29" spans="1:27" s="16" customFormat="1" ht="11.25" x14ac:dyDescent="0.2">
      <c r="A29" s="16" t="s">
        <v>225</v>
      </c>
      <c r="B29" s="14">
        <f>B26</f>
        <v>124219</v>
      </c>
      <c r="C29" s="14"/>
      <c r="D29" s="14">
        <f>D26</f>
        <v>35706.748265004964</v>
      </c>
      <c r="E29" s="14"/>
      <c r="F29" s="24">
        <f>D29/B29</f>
        <v>0.28744997355481017</v>
      </c>
      <c r="G29" s="22" t="s">
        <v>12</v>
      </c>
      <c r="H29" s="14"/>
      <c r="I29" s="14"/>
      <c r="J29" s="14"/>
      <c r="K29" s="14"/>
      <c r="O29" s="117"/>
      <c r="P29" s="117"/>
    </row>
    <row r="30" spans="1:27" s="16" customFormat="1" ht="11.25" x14ac:dyDescent="0.2">
      <c r="A30" s="16" t="s">
        <v>234</v>
      </c>
      <c r="B30" s="14"/>
      <c r="C30" s="14"/>
      <c r="D30" s="14"/>
      <c r="E30" s="14"/>
      <c r="F30" s="14"/>
      <c r="G30" s="14"/>
      <c r="H30" s="14"/>
      <c r="I30" s="14"/>
      <c r="J30" s="14"/>
      <c r="K30" s="14"/>
      <c r="O30" s="117"/>
      <c r="P30" s="117"/>
    </row>
    <row r="31" spans="1:27" s="16" customFormat="1" ht="11.25" x14ac:dyDescent="0.2">
      <c r="B31" s="14"/>
      <c r="C31" s="14"/>
      <c r="D31" s="14"/>
      <c r="E31" s="14"/>
      <c r="F31" s="14"/>
      <c r="G31" s="14"/>
      <c r="H31" s="14"/>
      <c r="I31" s="14"/>
      <c r="J31" s="14"/>
      <c r="K31" s="14"/>
      <c r="O31" s="117"/>
      <c r="P31" s="117"/>
    </row>
    <row r="32" spans="1:27" s="16" customFormat="1" ht="11.25" x14ac:dyDescent="0.2">
      <c r="B32" s="14"/>
      <c r="C32" s="14"/>
      <c r="D32" s="14"/>
      <c r="E32" s="14"/>
      <c r="F32" s="14"/>
      <c r="G32" s="14"/>
      <c r="H32" s="14"/>
      <c r="I32" s="14"/>
      <c r="J32" s="14"/>
      <c r="K32" s="14"/>
      <c r="O32" s="117"/>
      <c r="P32" s="117"/>
    </row>
    <row r="33" spans="1:27" s="16" customFormat="1" ht="11.25" x14ac:dyDescent="0.2">
      <c r="B33" s="14"/>
      <c r="C33" s="14"/>
      <c r="D33" s="14"/>
      <c r="E33" s="14"/>
      <c r="F33" s="14"/>
      <c r="G33" s="14"/>
      <c r="H33" s="14"/>
      <c r="I33" s="14"/>
      <c r="J33" s="14"/>
      <c r="K33" s="14"/>
      <c r="O33" s="117"/>
      <c r="P33" s="117"/>
    </row>
    <row r="34" spans="1:27" s="16" customFormat="1" ht="11.25" x14ac:dyDescent="0.2">
      <c r="B34" s="14"/>
      <c r="C34" s="14"/>
      <c r="D34" s="14"/>
      <c r="E34" s="14"/>
      <c r="F34" s="14"/>
      <c r="G34" s="14"/>
      <c r="H34" s="14"/>
      <c r="I34" s="14"/>
      <c r="J34" s="14"/>
      <c r="K34" s="14"/>
      <c r="O34" s="117"/>
      <c r="P34" s="117"/>
    </row>
    <row r="35" spans="1:27" s="16" customFormat="1" ht="12" thickBot="1" x14ac:dyDescent="0.25">
      <c r="B35" s="28" t="s">
        <v>14</v>
      </c>
      <c r="C35" s="29"/>
      <c r="D35" s="29"/>
      <c r="E35" s="29"/>
      <c r="F35" s="14"/>
      <c r="G35" s="14"/>
      <c r="H35" s="14"/>
      <c r="I35" s="14"/>
      <c r="J35" s="14"/>
      <c r="K35" s="14"/>
    </row>
    <row r="36" spans="1:27" s="16" customFormat="1" ht="12" thickTop="1" x14ac:dyDescent="0.2">
      <c r="A36" s="6"/>
      <c r="B36" s="30"/>
      <c r="C36" s="14"/>
      <c r="D36" s="14"/>
      <c r="E36" s="14"/>
      <c r="F36" s="14"/>
      <c r="G36" s="14"/>
      <c r="H36" s="14"/>
      <c r="I36" s="14"/>
      <c r="J36" s="14"/>
      <c r="K36" s="14"/>
      <c r="X36" s="14"/>
      <c r="Y36" s="14"/>
    </row>
    <row r="37" spans="1:27" s="16" customFormat="1" ht="11.25" x14ac:dyDescent="0.2">
      <c r="A37" s="8"/>
      <c r="B37" s="30"/>
      <c r="C37" s="14"/>
      <c r="D37" s="14"/>
      <c r="E37" s="14"/>
      <c r="F37" s="31" t="s">
        <v>15</v>
      </c>
      <c r="G37" s="14">
        <f>ROUND(D26,0)</f>
        <v>35707</v>
      </c>
      <c r="H37" s="22" t="s">
        <v>11</v>
      </c>
      <c r="I37" s="14"/>
      <c r="J37" s="14"/>
      <c r="K37" s="14"/>
      <c r="Q37" s="13"/>
      <c r="R37" s="13"/>
    </row>
    <row r="38" spans="1:27" s="13" customFormat="1" ht="11.25" x14ac:dyDescent="0.2">
      <c r="A38" s="32"/>
      <c r="B38" s="30"/>
      <c r="C38" s="14"/>
      <c r="D38" s="14"/>
      <c r="E38" s="14"/>
      <c r="F38" s="14"/>
      <c r="G38" s="14"/>
      <c r="H38" s="22"/>
      <c r="I38" s="14"/>
      <c r="J38" s="14"/>
      <c r="K38" s="14"/>
      <c r="O38" s="16">
        <f>12*O27*O26</f>
        <v>0</v>
      </c>
      <c r="P38" s="13" t="s">
        <v>63</v>
      </c>
      <c r="Q38" s="16"/>
      <c r="R38" s="16"/>
      <c r="W38" s="14"/>
      <c r="X38" s="16"/>
      <c r="Y38" s="16"/>
      <c r="AA38" s="14"/>
    </row>
    <row r="39" spans="1:27" s="16" customFormat="1" ht="11.25" x14ac:dyDescent="0.2">
      <c r="B39" s="14" t="s">
        <v>16</v>
      </c>
      <c r="C39" s="14"/>
      <c r="D39" s="14"/>
      <c r="E39" s="14"/>
      <c r="F39" s="33">
        <v>0.92700000000000005</v>
      </c>
      <c r="G39" s="14"/>
      <c r="H39" s="14"/>
      <c r="I39" s="14"/>
      <c r="J39" s="14"/>
      <c r="K39" s="14"/>
      <c r="O39" s="16">
        <f>12*O27*G62</f>
        <v>0</v>
      </c>
      <c r="P39" s="16" t="s">
        <v>64</v>
      </c>
    </row>
    <row r="40" spans="1:27" s="16" customFormat="1" ht="11.25" x14ac:dyDescent="0.2">
      <c r="B40" s="74" t="str">
        <f>"Customers from "&amp;TEXT($A$8,"mm/yy")&amp;" - "&amp;TEXT($A$10,"mm/yy")</f>
        <v>Customers from 05/18 - 07/18</v>
      </c>
      <c r="D40" s="14"/>
      <c r="E40" s="14"/>
      <c r="F40" s="34">
        <f>SUM(B8:B10)</f>
        <v>61994</v>
      </c>
      <c r="G40" s="22" t="s">
        <v>9</v>
      </c>
      <c r="H40" s="14"/>
      <c r="I40" s="14"/>
      <c r="J40" s="14"/>
      <c r="K40" s="14"/>
      <c r="O40" s="124" t="e">
        <f>+O39/O38</f>
        <v>#DIV/0!</v>
      </c>
    </row>
    <row r="41" spans="1:27" s="16" customFormat="1" ht="11.25" x14ac:dyDescent="0.2">
      <c r="B41" s="14"/>
      <c r="C41" s="14" t="s">
        <v>17</v>
      </c>
      <c r="D41" s="14"/>
      <c r="E41" s="14"/>
      <c r="F41" s="23">
        <f>ROUND(F39*F40,0)</f>
        <v>57468</v>
      </c>
      <c r="G41" s="22"/>
      <c r="H41" s="14"/>
      <c r="I41" s="14"/>
      <c r="J41" s="14"/>
      <c r="K41" s="14"/>
    </row>
    <row r="42" spans="1:27" s="16" customFormat="1" ht="11.25" x14ac:dyDescent="0.2">
      <c r="B42" s="14"/>
      <c r="C42" s="14"/>
      <c r="D42" s="14"/>
      <c r="E42" s="14"/>
      <c r="F42" s="34"/>
      <c r="G42" s="22"/>
      <c r="H42" s="14"/>
      <c r="I42" s="14"/>
      <c r="J42" s="14"/>
      <c r="K42" s="16">
        <f>D26/O25</f>
        <v>0.5</v>
      </c>
    </row>
    <row r="43" spans="1:27" s="16" customFormat="1" ht="11.25" x14ac:dyDescent="0.2">
      <c r="B43" s="14" t="s">
        <v>16</v>
      </c>
      <c r="C43" s="14"/>
      <c r="D43" s="14"/>
      <c r="E43" s="14"/>
      <c r="F43" s="33">
        <v>0.40699999999999997</v>
      </c>
      <c r="G43" s="14"/>
      <c r="H43" s="14"/>
      <c r="I43" s="14"/>
      <c r="J43" s="14"/>
      <c r="K43" s="14"/>
    </row>
    <row r="44" spans="1:27" s="16" customFormat="1" ht="11.25" x14ac:dyDescent="0.2">
      <c r="B44" s="74" t="str">
        <f>"Customers from "&amp;TEXT(A14,"mm/yy")&amp;" - "&amp;TEXT($A$22,"mm/yy")</f>
        <v>Customers from 08/18 - 04/19</v>
      </c>
      <c r="D44" s="14"/>
      <c r="E44" s="14"/>
      <c r="F44" s="14">
        <f>B24</f>
        <v>62225</v>
      </c>
      <c r="G44" s="22" t="s">
        <v>10</v>
      </c>
      <c r="H44" s="14"/>
      <c r="I44" s="14"/>
      <c r="J44" s="14"/>
      <c r="K44" s="14"/>
    </row>
    <row r="45" spans="1:27" s="16" customFormat="1" ht="11.25" x14ac:dyDescent="0.2">
      <c r="B45" s="14"/>
      <c r="C45" s="14" t="s">
        <v>17</v>
      </c>
      <c r="D45" s="14"/>
      <c r="E45" s="14"/>
      <c r="F45" s="23">
        <f>ROUND(F43*F44,0)</f>
        <v>25326</v>
      </c>
      <c r="G45" s="22"/>
      <c r="H45" s="14"/>
      <c r="I45" s="14"/>
      <c r="J45" s="14"/>
      <c r="K45" s="14"/>
    </row>
    <row r="46" spans="1:27" s="16" customFormat="1" ht="11.25" x14ac:dyDescent="0.2">
      <c r="B46" s="14"/>
      <c r="C46" s="14"/>
      <c r="D46" s="14"/>
      <c r="E46" s="14"/>
      <c r="F46" s="35"/>
      <c r="G46" s="22"/>
      <c r="H46" s="14"/>
      <c r="I46" s="14"/>
      <c r="J46" s="14"/>
      <c r="K46" s="14"/>
    </row>
    <row r="47" spans="1:27" s="16" customFormat="1" ht="12" thickBot="1" x14ac:dyDescent="0.25">
      <c r="B47" s="14"/>
      <c r="C47" s="14" t="s">
        <v>18</v>
      </c>
      <c r="D47" s="14"/>
      <c r="E47" s="14"/>
      <c r="F47" s="27">
        <f>+F41+F45</f>
        <v>82794</v>
      </c>
      <c r="G47" s="36">
        <f>+F47</f>
        <v>82794</v>
      </c>
      <c r="H47" s="14"/>
      <c r="I47" s="14"/>
      <c r="J47" s="14"/>
      <c r="K47" s="14"/>
    </row>
    <row r="48" spans="1:27" s="16" customFormat="1" ht="12" thickTop="1" x14ac:dyDescent="0.2">
      <c r="B48" s="14"/>
      <c r="C48" s="14"/>
      <c r="D48" s="14"/>
      <c r="E48" s="14"/>
      <c r="F48" s="14"/>
      <c r="G48" s="14"/>
      <c r="H48" s="14"/>
      <c r="I48" s="14"/>
      <c r="J48" s="14"/>
      <c r="K48" s="14"/>
    </row>
    <row r="49" spans="2:27" s="16" customFormat="1" ht="11.25" x14ac:dyDescent="0.2">
      <c r="B49" s="14"/>
      <c r="C49" s="14"/>
      <c r="D49" s="14"/>
      <c r="E49" s="14"/>
      <c r="F49" s="14"/>
      <c r="G49" s="14"/>
      <c r="H49" s="14"/>
      <c r="I49" s="14"/>
      <c r="J49" s="14"/>
      <c r="K49" s="14"/>
    </row>
    <row r="50" spans="2:27" s="16" customFormat="1" ht="12" thickBot="1" x14ac:dyDescent="0.25">
      <c r="B50" s="14"/>
      <c r="C50" s="14"/>
      <c r="D50" s="14"/>
      <c r="E50" s="14"/>
      <c r="F50" s="31" t="str">
        <f>IF(G50&lt;=0,"Excess","Deficient")&amp;" Commodity Credits"</f>
        <v>Excess Commodity Credits</v>
      </c>
      <c r="G50" s="37">
        <f>+G37-G47</f>
        <v>-47087</v>
      </c>
      <c r="H50" s="14"/>
      <c r="I50" s="14"/>
      <c r="J50" s="14"/>
      <c r="K50" s="14"/>
    </row>
    <row r="51" spans="2:27" s="16" customFormat="1" ht="12" thickTop="1" x14ac:dyDescent="0.2">
      <c r="B51" s="14"/>
      <c r="C51" s="14"/>
      <c r="D51" s="14"/>
      <c r="E51" s="14"/>
      <c r="F51" s="14"/>
      <c r="G51" s="14"/>
      <c r="H51" s="14"/>
      <c r="I51" s="14"/>
      <c r="J51" s="14"/>
      <c r="K51" s="14"/>
      <c r="Y51" s="14"/>
    </row>
    <row r="52" spans="2:27" s="16" customFormat="1" ht="11.25" x14ac:dyDescent="0.2">
      <c r="B52" s="14"/>
      <c r="C52" s="14"/>
      <c r="D52" s="14"/>
      <c r="E52" s="14"/>
      <c r="F52" s="14"/>
      <c r="G52" s="14"/>
      <c r="H52" s="14"/>
      <c r="I52" s="14"/>
      <c r="J52" s="14"/>
      <c r="K52" s="14"/>
    </row>
    <row r="53" spans="2:27" s="16" customFormat="1" ht="12" thickBot="1" x14ac:dyDescent="0.25">
      <c r="B53" s="28" t="str">
        <f>$K$22+1&amp;" Recycle Adjustment Calculation"</f>
        <v>2019 Recycle Adjustment Calculation</v>
      </c>
      <c r="C53" s="29"/>
      <c r="D53" s="29"/>
      <c r="E53" s="29"/>
      <c r="F53" s="29"/>
      <c r="G53" s="14"/>
      <c r="H53" s="14"/>
      <c r="I53" s="14"/>
      <c r="J53" s="14"/>
      <c r="K53" s="14"/>
      <c r="O53" s="14"/>
      <c r="P53" s="14"/>
      <c r="Q53" s="14"/>
      <c r="R53" s="14"/>
    </row>
    <row r="54" spans="2:27" s="16" customFormat="1" ht="12" thickTop="1" x14ac:dyDescent="0.2">
      <c r="B54" s="30"/>
      <c r="C54" s="14"/>
      <c r="D54" s="14"/>
      <c r="E54" s="14"/>
      <c r="F54" s="14"/>
      <c r="G54" s="14"/>
      <c r="H54" s="14"/>
      <c r="I54" s="14"/>
      <c r="J54" s="14"/>
      <c r="K54" s="14"/>
      <c r="L54" s="14"/>
      <c r="M54" s="14"/>
      <c r="N54" s="14"/>
      <c r="S54" s="14"/>
      <c r="T54" s="14"/>
      <c r="U54" s="14"/>
      <c r="V54" s="14"/>
      <c r="W54" s="14"/>
      <c r="AA54" s="14"/>
    </row>
    <row r="55" spans="2:27" s="16" customFormat="1" ht="11.25" x14ac:dyDescent="0.2">
      <c r="B55" s="14" t="s">
        <v>230</v>
      </c>
      <c r="C55" s="14"/>
      <c r="D55" s="14"/>
      <c r="E55" s="14"/>
      <c r="F55" s="14"/>
      <c r="G55" s="14"/>
      <c r="H55" s="14"/>
      <c r="I55" s="14"/>
      <c r="J55" s="14"/>
      <c r="K55" s="14"/>
    </row>
    <row r="56" spans="2:27" s="16" customFormat="1" ht="11.25" x14ac:dyDescent="0.2">
      <c r="B56" s="14"/>
      <c r="C56" s="14"/>
      <c r="D56" s="14"/>
      <c r="E56" s="14"/>
      <c r="F56" s="31" t="s">
        <v>229</v>
      </c>
      <c r="G56" s="14">
        <f>+J26</f>
        <v>124219</v>
      </c>
      <c r="H56" s="22" t="s">
        <v>13</v>
      </c>
      <c r="I56" s="14"/>
      <c r="J56" s="14"/>
      <c r="K56" s="14"/>
    </row>
    <row r="57" spans="2:27" s="16" customFormat="1" ht="11.25" x14ac:dyDescent="0.2">
      <c r="B57" s="14"/>
      <c r="C57" s="14"/>
      <c r="D57" s="14"/>
      <c r="E57" s="14"/>
      <c r="F57" s="31" t="str">
        <f>F50</f>
        <v>Excess Commodity Credits</v>
      </c>
      <c r="G57" s="14">
        <f>+G50</f>
        <v>-47087</v>
      </c>
      <c r="H57" s="14"/>
      <c r="I57" s="14"/>
      <c r="J57" s="14"/>
      <c r="K57" s="14"/>
    </row>
    <row r="58" spans="2:27" s="16" customFormat="1" ht="11.25" x14ac:dyDescent="0.2">
      <c r="B58" s="14"/>
      <c r="C58" s="14"/>
      <c r="D58" s="14"/>
      <c r="E58" s="14"/>
      <c r="F58" s="31"/>
      <c r="G58" s="14"/>
      <c r="H58" s="14"/>
      <c r="I58" s="14"/>
      <c r="J58" s="14"/>
      <c r="K58" s="14"/>
    </row>
    <row r="59" spans="2:27" s="16" customFormat="1" ht="12" thickBot="1" x14ac:dyDescent="0.25">
      <c r="B59" s="14"/>
      <c r="C59" s="14"/>
      <c r="D59" s="14"/>
      <c r="E59" s="14"/>
      <c r="F59" s="31" t="str">
        <f>$K$10&amp;"/"&amp;$K$22&amp;" Monthly True-up Amount"</f>
        <v>2017/2018 Monthly True-up Amount</v>
      </c>
      <c r="G59" s="38">
        <f>ROUND(G57/G56,3)</f>
        <v>-0.379</v>
      </c>
      <c r="H59" s="14"/>
      <c r="I59" s="24">
        <f>+G59</f>
        <v>-0.379</v>
      </c>
      <c r="J59" s="14"/>
      <c r="K59" s="14"/>
    </row>
    <row r="60" spans="2:27" s="16" customFormat="1" ht="12" thickTop="1" x14ac:dyDescent="0.2">
      <c r="B60" s="14"/>
      <c r="C60" s="14"/>
      <c r="D60" s="14"/>
      <c r="E60" s="14"/>
      <c r="F60" s="31"/>
      <c r="G60" s="14"/>
      <c r="H60" s="14"/>
      <c r="I60" s="24"/>
      <c r="J60" s="14"/>
      <c r="K60" s="14"/>
      <c r="Y60" s="14"/>
    </row>
    <row r="61" spans="2:27" s="16" customFormat="1" ht="11.25" x14ac:dyDescent="0.2">
      <c r="B61" s="14" t="s">
        <v>233</v>
      </c>
      <c r="C61" s="14"/>
      <c r="D61" s="14"/>
      <c r="E61" s="14"/>
      <c r="F61" s="31"/>
      <c r="G61" s="14"/>
      <c r="H61" s="14"/>
      <c r="I61" s="24"/>
      <c r="J61" s="14"/>
      <c r="K61" s="14"/>
      <c r="N61" s="356" t="s">
        <v>67</v>
      </c>
    </row>
    <row r="62" spans="2:27" s="16" customFormat="1" ht="12" thickBot="1" x14ac:dyDescent="0.25">
      <c r="B62" s="30"/>
      <c r="C62" s="14"/>
      <c r="D62" s="14"/>
      <c r="E62" s="14"/>
      <c r="F62" s="31" t="s">
        <v>227</v>
      </c>
      <c r="G62" s="303">
        <f>F29</f>
        <v>0.28744997355481017</v>
      </c>
      <c r="H62" s="14"/>
      <c r="I62" s="24">
        <f>+G62</f>
        <v>0.28744997355481017</v>
      </c>
      <c r="J62" s="22" t="s">
        <v>12</v>
      </c>
      <c r="K62" s="14"/>
      <c r="N62" s="355">
        <f>+'[11]WUTC_AW of Kent_MF'!$O$56</f>
        <v>0.5</v>
      </c>
    </row>
    <row r="63" spans="2:27" s="14" customFormat="1" ht="12" thickTop="1" x14ac:dyDescent="0.2">
      <c r="B63" s="30"/>
      <c r="I63" s="24"/>
      <c r="X63" s="16"/>
      <c r="Y63" s="16"/>
    </row>
    <row r="64" spans="2:27" s="16" customFormat="1" ht="12" thickBot="1" x14ac:dyDescent="0.25">
      <c r="B64" s="14"/>
      <c r="C64" s="14"/>
      <c r="D64" s="14"/>
      <c r="E64" s="14"/>
      <c r="F64" s="14"/>
      <c r="G64" s="31" t="s">
        <v>232</v>
      </c>
      <c r="H64" s="27"/>
      <c r="I64" s="128">
        <f>+I59+I62</f>
        <v>-9.1550026445189836E-2</v>
      </c>
      <c r="J64" s="14"/>
      <c r="K64" s="14"/>
    </row>
    <row r="65" spans="1:27" s="16" customFormat="1" ht="12" thickTop="1" x14ac:dyDescent="0.2">
      <c r="I65" s="24"/>
    </row>
    <row r="66" spans="1:27" s="16" customFormat="1" ht="11.25" x14ac:dyDescent="0.2"/>
    <row r="67" spans="1:27" s="16" customFormat="1" ht="11.25" x14ac:dyDescent="0.2"/>
    <row r="68" spans="1:27" s="16" customFormat="1" ht="11.25" x14ac:dyDescent="0.2"/>
    <row r="69" spans="1:27" s="16" customFormat="1" ht="11.25" x14ac:dyDescent="0.2">
      <c r="B69" s="16" t="s">
        <v>223</v>
      </c>
      <c r="G69" s="109" t="s">
        <v>56</v>
      </c>
      <c r="I69" s="73"/>
    </row>
    <row r="70" spans="1:27" s="16" customFormat="1" ht="11.25" x14ac:dyDescent="0.2">
      <c r="A70" s="39"/>
      <c r="B70" s="39"/>
      <c r="C70" s="39"/>
      <c r="D70" s="39"/>
      <c r="E70" s="39"/>
      <c r="F70" s="39"/>
    </row>
    <row r="71" spans="1:27" s="16" customFormat="1" ht="11.25" x14ac:dyDescent="0.2">
      <c r="A71" s="40"/>
      <c r="B71" s="42"/>
      <c r="C71" s="41"/>
      <c r="D71" s="39"/>
      <c r="E71" s="39"/>
      <c r="F71" s="39"/>
      <c r="G71" s="109" t="s">
        <v>57</v>
      </c>
      <c r="I71" s="302" t="e">
        <f>I69/(B22*12)</f>
        <v>#DIV/0!</v>
      </c>
    </row>
    <row r="72" spans="1:27" s="16" customFormat="1" ht="11.25" x14ac:dyDescent="0.2">
      <c r="A72" s="40"/>
      <c r="B72" s="42"/>
      <c r="C72" s="42"/>
      <c r="D72" s="39"/>
      <c r="E72" s="39"/>
      <c r="F72" s="39"/>
    </row>
    <row r="73" spans="1:27" s="16" customFormat="1" ht="12" thickBot="1" x14ac:dyDescent="0.25">
      <c r="A73" s="40"/>
      <c r="B73" s="43"/>
      <c r="C73" s="42"/>
      <c r="D73" s="39"/>
      <c r="E73" s="39"/>
      <c r="F73" s="39"/>
      <c r="G73" s="31" t="str">
        <f>$K$22+1&amp;" Net Credit"</f>
        <v>2019 Net Credit</v>
      </c>
      <c r="H73" s="27"/>
      <c r="I73" s="301" t="e">
        <f>+I64+I71</f>
        <v>#DIV/0!</v>
      </c>
    </row>
    <row r="74" spans="1:27" s="16" customFormat="1" ht="12" thickTop="1" x14ac:dyDescent="0.2">
      <c r="A74" s="40"/>
      <c r="B74" s="43"/>
      <c r="C74" s="42"/>
      <c r="D74" s="39"/>
      <c r="E74" s="39"/>
      <c r="F74" s="39"/>
    </row>
    <row r="75" spans="1:27" s="16" customFormat="1" ht="11.25" x14ac:dyDescent="0.2">
      <c r="A75" s="40"/>
      <c r="B75" s="43"/>
      <c r="C75" s="42"/>
      <c r="D75" s="39"/>
      <c r="E75" s="39"/>
      <c r="F75" s="39"/>
    </row>
    <row r="76" spans="1:27" s="16" customFormat="1" ht="11.25" x14ac:dyDescent="0.2">
      <c r="A76" s="40"/>
      <c r="B76" s="43"/>
      <c r="C76" s="42"/>
      <c r="D76" s="39"/>
      <c r="E76" s="39"/>
      <c r="F76" s="39"/>
      <c r="Y76" s="14"/>
    </row>
    <row r="77" spans="1:27" s="16" customFormat="1" ht="11.25" x14ac:dyDescent="0.2">
      <c r="A77" s="40"/>
      <c r="B77" s="43"/>
      <c r="C77" s="42"/>
      <c r="D77" s="39"/>
      <c r="E77" s="39"/>
      <c r="F77" s="39"/>
    </row>
    <row r="78" spans="1:27" s="16" customFormat="1" ht="11.25" x14ac:dyDescent="0.2">
      <c r="A78" s="40"/>
      <c r="B78" s="43"/>
      <c r="C78" s="42"/>
      <c r="D78" s="39"/>
      <c r="E78" s="39"/>
      <c r="F78" s="39"/>
    </row>
    <row r="79" spans="1:27" s="16" customFormat="1" ht="11.25" x14ac:dyDescent="0.2">
      <c r="A79" s="40"/>
      <c r="B79" s="43"/>
      <c r="C79" s="42"/>
      <c r="D79" s="39"/>
      <c r="E79" s="39"/>
      <c r="F79" s="39"/>
    </row>
    <row r="80" spans="1:27" s="16" customFormat="1" ht="11.25" x14ac:dyDescent="0.2">
      <c r="A80" s="40"/>
      <c r="B80" s="43"/>
      <c r="C80" s="42"/>
      <c r="D80" s="39"/>
      <c r="E80" s="44"/>
      <c r="F80" s="39"/>
      <c r="G80" s="14"/>
      <c r="H80" s="13"/>
      <c r="I80" s="14"/>
      <c r="J80" s="14"/>
      <c r="K80" s="13"/>
      <c r="L80" s="14"/>
      <c r="M80" s="14"/>
      <c r="N80" s="14"/>
      <c r="O80" s="14"/>
      <c r="P80" s="14"/>
      <c r="Q80" s="14"/>
      <c r="R80" s="14"/>
      <c r="S80" s="14"/>
      <c r="T80" s="14"/>
      <c r="U80" s="14"/>
      <c r="V80" s="13"/>
      <c r="W80" s="14"/>
      <c r="AA80" s="14"/>
    </row>
    <row r="81" spans="1:25" s="16" customFormat="1" ht="11.25" x14ac:dyDescent="0.2">
      <c r="A81" s="40"/>
      <c r="B81" s="43"/>
      <c r="C81" s="42"/>
      <c r="D81" s="39"/>
      <c r="E81" s="39"/>
      <c r="F81" s="39"/>
    </row>
    <row r="82" spans="1:25" s="16" customFormat="1" ht="11.25" x14ac:dyDescent="0.2">
      <c r="A82" s="40"/>
      <c r="B82" s="42"/>
      <c r="C82" s="42"/>
      <c r="D82" s="39"/>
      <c r="E82" s="39"/>
      <c r="F82" s="39"/>
    </row>
    <row r="83" spans="1:25" s="16" customFormat="1" ht="11.25" x14ac:dyDescent="0.2">
      <c r="A83" s="40"/>
      <c r="B83" s="42"/>
      <c r="C83" s="41"/>
      <c r="D83" s="39"/>
      <c r="E83" s="39"/>
      <c r="F83" s="39"/>
    </row>
    <row r="84" spans="1:25" s="16" customFormat="1" x14ac:dyDescent="0.2">
      <c r="A84" s="45"/>
      <c r="B84" s="45"/>
      <c r="C84" s="45"/>
      <c r="D84" s="46"/>
      <c r="E84" s="39"/>
      <c r="F84" s="45"/>
    </row>
    <row r="85" spans="1:25" s="16" customFormat="1" ht="11.25" x14ac:dyDescent="0.2">
      <c r="A85" s="47"/>
      <c r="B85" s="42"/>
      <c r="C85" s="41"/>
      <c r="D85" s="39"/>
      <c r="E85" s="39"/>
      <c r="F85" s="48"/>
      <c r="Y85" s="14"/>
    </row>
    <row r="86" spans="1:25" s="16" customFormat="1" ht="11.25" x14ac:dyDescent="0.2"/>
    <row r="87" spans="1:25" s="16" customFormat="1" ht="11.25" x14ac:dyDescent="0.2"/>
    <row r="88" spans="1:25" s="16" customFormat="1" ht="11.25" x14ac:dyDescent="0.2"/>
    <row r="89" spans="1:25" s="16" customFormat="1" ht="11.25" x14ac:dyDescent="0.2">
      <c r="B89" s="8"/>
    </row>
    <row r="90" spans="1:25" s="14" customFormat="1" ht="11.25" x14ac:dyDescent="0.2">
      <c r="B90" s="30"/>
      <c r="X90" s="16"/>
      <c r="Y90" s="16"/>
    </row>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row r="97" spans="1:27" s="16" customFormat="1" ht="11.25" x14ac:dyDescent="0.2"/>
    <row r="98" spans="1:27" s="16" customFormat="1" ht="11.25" x14ac:dyDescent="0.2"/>
    <row r="99" spans="1:27" s="16" customFormat="1" ht="11.25" x14ac:dyDescent="0.2">
      <c r="A99" s="6"/>
    </row>
    <row r="100" spans="1:27" s="16" customFormat="1" x14ac:dyDescent="0.2">
      <c r="AA100" s="5"/>
    </row>
    <row r="101" spans="1:27" s="16" customFormat="1" x14ac:dyDescent="0.2">
      <c r="AA101" s="5"/>
    </row>
    <row r="102" spans="1:27" s="16" customFormat="1" x14ac:dyDescent="0.2">
      <c r="AA102" s="5"/>
    </row>
    <row r="103" spans="1:27" s="16" customFormat="1" x14ac:dyDescent="0.2">
      <c r="AA103" s="5"/>
    </row>
    <row r="104" spans="1:27" s="16" customFormat="1" x14ac:dyDescent="0.2">
      <c r="G104" s="49"/>
      <c r="I104" s="49"/>
      <c r="J104" s="49"/>
      <c r="L104" s="49"/>
      <c r="M104" s="49"/>
      <c r="N104" s="49"/>
      <c r="O104" s="49"/>
      <c r="P104" s="49"/>
      <c r="Q104" s="49"/>
      <c r="R104" s="49"/>
      <c r="S104" s="49"/>
      <c r="T104" s="49"/>
      <c r="U104" s="49"/>
      <c r="V104" s="49"/>
      <c r="W104" s="49"/>
      <c r="X104" s="49"/>
      <c r="Y104" s="49"/>
      <c r="AA104" s="5"/>
    </row>
    <row r="105" spans="1:27" s="16" customFormat="1" x14ac:dyDescent="0.2">
      <c r="AA105" s="5"/>
    </row>
    <row r="106" spans="1:27" s="16" customFormat="1" ht="13.5" thickBot="1" x14ac:dyDescent="0.25">
      <c r="G106" s="50"/>
      <c r="I106" s="50"/>
      <c r="J106" s="50"/>
      <c r="L106" s="50"/>
      <c r="M106" s="50"/>
      <c r="N106" s="50"/>
      <c r="O106" s="50"/>
      <c r="P106" s="50"/>
      <c r="Q106" s="50"/>
      <c r="R106" s="50"/>
      <c r="S106" s="50"/>
      <c r="T106" s="50"/>
      <c r="U106" s="50"/>
      <c r="V106" s="50"/>
      <c r="W106" s="50"/>
      <c r="X106" s="50"/>
      <c r="Y106" s="50"/>
      <c r="AA106" s="5"/>
    </row>
    <row r="107" spans="1:27" ht="13.5" thickTop="1" x14ac:dyDescent="0.2"/>
    <row r="108" spans="1:27" x14ac:dyDescent="0.2">
      <c r="W108" s="51"/>
      <c r="X108" s="51"/>
      <c r="Y108" s="51"/>
    </row>
    <row r="109" spans="1:27" x14ac:dyDescent="0.2">
      <c r="W109" s="51"/>
      <c r="AA109" s="51"/>
    </row>
  </sheetData>
  <pageMargins left="0.25" right="0.25" top="0.25" bottom="0.25" header="0" footer="0"/>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R120"/>
  <sheetViews>
    <sheetView workbookViewId="0">
      <selection activeCell="F41" sqref="F41"/>
    </sheetView>
  </sheetViews>
  <sheetFormatPr defaultRowHeight="12.75" x14ac:dyDescent="0.2"/>
  <cols>
    <col min="2" max="2" width="6.5703125" customWidth="1"/>
    <col min="3" max="3" width="8.7109375" bestFit="1" customWidth="1"/>
    <col min="4" max="4" width="9" bestFit="1" customWidth="1"/>
    <col min="5" max="5" width="12" bestFit="1" customWidth="1"/>
    <col min="11" max="12" width="9" bestFit="1" customWidth="1"/>
    <col min="13" max="13" width="8.7109375" bestFit="1" customWidth="1"/>
    <col min="14" max="14" width="3.7109375" style="66" customWidth="1"/>
    <col min="16" max="16" width="14.5703125" bestFit="1" customWidth="1"/>
    <col min="17" max="17" width="12.28515625" style="376" bestFit="1" customWidth="1"/>
    <col min="258" max="258" width="6.5703125" customWidth="1"/>
    <col min="259" max="259" width="8.7109375" bestFit="1" customWidth="1"/>
    <col min="260" max="260" width="9" bestFit="1" customWidth="1"/>
    <col min="261" max="261" width="12" bestFit="1" customWidth="1"/>
    <col min="267" max="268" width="9" bestFit="1" customWidth="1"/>
    <col min="269" max="269" width="8.7109375" bestFit="1" customWidth="1"/>
    <col min="270" max="270" width="3.7109375" customWidth="1"/>
    <col min="272" max="272" width="14.5703125" bestFit="1" customWidth="1"/>
    <col min="273" max="273" width="12.28515625" bestFit="1" customWidth="1"/>
    <col min="514" max="514" width="6.5703125" customWidth="1"/>
    <col min="515" max="515" width="8.7109375" bestFit="1" customWidth="1"/>
    <col min="516" max="516" width="9" bestFit="1" customWidth="1"/>
    <col min="517" max="517" width="12" bestFit="1" customWidth="1"/>
    <col min="523" max="524" width="9" bestFit="1" customWidth="1"/>
    <col min="525" max="525" width="8.7109375" bestFit="1" customWidth="1"/>
    <col min="526" max="526" width="3.7109375" customWidth="1"/>
    <col min="528" max="528" width="14.5703125" bestFit="1" customWidth="1"/>
    <col min="529" max="529" width="12.28515625" bestFit="1" customWidth="1"/>
    <col min="770" max="770" width="6.5703125" customWidth="1"/>
    <col min="771" max="771" width="8.7109375" bestFit="1" customWidth="1"/>
    <col min="772" max="772" width="9" bestFit="1" customWidth="1"/>
    <col min="773" max="773" width="12" bestFit="1" customWidth="1"/>
    <col min="779" max="780" width="9" bestFit="1" customWidth="1"/>
    <col min="781" max="781" width="8.7109375" bestFit="1" customWidth="1"/>
    <col min="782" max="782" width="3.7109375" customWidth="1"/>
    <col min="784" max="784" width="14.5703125" bestFit="1" customWidth="1"/>
    <col min="785" max="785" width="12.28515625" bestFit="1" customWidth="1"/>
    <col min="1026" max="1026" width="6.5703125" customWidth="1"/>
    <col min="1027" max="1027" width="8.7109375" bestFit="1" customWidth="1"/>
    <col min="1028" max="1028" width="9" bestFit="1" customWidth="1"/>
    <col min="1029" max="1029" width="12" bestFit="1" customWidth="1"/>
    <col min="1035" max="1036" width="9" bestFit="1" customWidth="1"/>
    <col min="1037" max="1037" width="8.7109375" bestFit="1" customWidth="1"/>
    <col min="1038" max="1038" width="3.7109375" customWidth="1"/>
    <col min="1040" max="1040" width="14.5703125" bestFit="1" customWidth="1"/>
    <col min="1041" max="1041" width="12.28515625" bestFit="1" customWidth="1"/>
    <col min="1282" max="1282" width="6.5703125" customWidth="1"/>
    <col min="1283" max="1283" width="8.7109375" bestFit="1" customWidth="1"/>
    <col min="1284" max="1284" width="9" bestFit="1" customWidth="1"/>
    <col min="1285" max="1285" width="12" bestFit="1" customWidth="1"/>
    <col min="1291" max="1292" width="9" bestFit="1" customWidth="1"/>
    <col min="1293" max="1293" width="8.7109375" bestFit="1" customWidth="1"/>
    <col min="1294" max="1294" width="3.7109375" customWidth="1"/>
    <col min="1296" max="1296" width="14.5703125" bestFit="1" customWidth="1"/>
    <col min="1297" max="1297" width="12.28515625" bestFit="1" customWidth="1"/>
    <col min="1538" max="1538" width="6.5703125" customWidth="1"/>
    <col min="1539" max="1539" width="8.7109375" bestFit="1" customWidth="1"/>
    <col min="1540" max="1540" width="9" bestFit="1" customWidth="1"/>
    <col min="1541" max="1541" width="12" bestFit="1" customWidth="1"/>
    <col min="1547" max="1548" width="9" bestFit="1" customWidth="1"/>
    <col min="1549" max="1549" width="8.7109375" bestFit="1" customWidth="1"/>
    <col min="1550" max="1550" width="3.7109375" customWidth="1"/>
    <col min="1552" max="1552" width="14.5703125" bestFit="1" customWidth="1"/>
    <col min="1553" max="1553" width="12.28515625" bestFit="1" customWidth="1"/>
    <col min="1794" max="1794" width="6.5703125" customWidth="1"/>
    <col min="1795" max="1795" width="8.7109375" bestFit="1" customWidth="1"/>
    <col min="1796" max="1796" width="9" bestFit="1" customWidth="1"/>
    <col min="1797" max="1797" width="12" bestFit="1" customWidth="1"/>
    <col min="1803" max="1804" width="9" bestFit="1" customWidth="1"/>
    <col min="1805" max="1805" width="8.7109375" bestFit="1" customWidth="1"/>
    <col min="1806" max="1806" width="3.7109375" customWidth="1"/>
    <col min="1808" max="1808" width="14.5703125" bestFit="1" customWidth="1"/>
    <col min="1809" max="1809" width="12.28515625" bestFit="1" customWidth="1"/>
    <col min="2050" max="2050" width="6.5703125" customWidth="1"/>
    <col min="2051" max="2051" width="8.7109375" bestFit="1" customWidth="1"/>
    <col min="2052" max="2052" width="9" bestFit="1" customWidth="1"/>
    <col min="2053" max="2053" width="12" bestFit="1" customWidth="1"/>
    <col min="2059" max="2060" width="9" bestFit="1" customWidth="1"/>
    <col min="2061" max="2061" width="8.7109375" bestFit="1" customWidth="1"/>
    <col min="2062" max="2062" width="3.7109375" customWidth="1"/>
    <col min="2064" max="2064" width="14.5703125" bestFit="1" customWidth="1"/>
    <col min="2065" max="2065" width="12.28515625" bestFit="1" customWidth="1"/>
    <col min="2306" max="2306" width="6.5703125" customWidth="1"/>
    <col min="2307" max="2307" width="8.7109375" bestFit="1" customWidth="1"/>
    <col min="2308" max="2308" width="9" bestFit="1" customWidth="1"/>
    <col min="2309" max="2309" width="12" bestFit="1" customWidth="1"/>
    <col min="2315" max="2316" width="9" bestFit="1" customWidth="1"/>
    <col min="2317" max="2317" width="8.7109375" bestFit="1" customWidth="1"/>
    <col min="2318" max="2318" width="3.7109375" customWidth="1"/>
    <col min="2320" max="2320" width="14.5703125" bestFit="1" customWidth="1"/>
    <col min="2321" max="2321" width="12.28515625" bestFit="1" customWidth="1"/>
    <col min="2562" max="2562" width="6.5703125" customWidth="1"/>
    <col min="2563" max="2563" width="8.7109375" bestFit="1" customWidth="1"/>
    <col min="2564" max="2564" width="9" bestFit="1" customWidth="1"/>
    <col min="2565" max="2565" width="12" bestFit="1" customWidth="1"/>
    <col min="2571" max="2572" width="9" bestFit="1" customWidth="1"/>
    <col min="2573" max="2573" width="8.7109375" bestFit="1" customWidth="1"/>
    <col min="2574" max="2574" width="3.7109375" customWidth="1"/>
    <col min="2576" max="2576" width="14.5703125" bestFit="1" customWidth="1"/>
    <col min="2577" max="2577" width="12.28515625" bestFit="1" customWidth="1"/>
    <col min="2818" max="2818" width="6.5703125" customWidth="1"/>
    <col min="2819" max="2819" width="8.7109375" bestFit="1" customWidth="1"/>
    <col min="2820" max="2820" width="9" bestFit="1" customWidth="1"/>
    <col min="2821" max="2821" width="12" bestFit="1" customWidth="1"/>
    <col min="2827" max="2828" width="9" bestFit="1" customWidth="1"/>
    <col min="2829" max="2829" width="8.7109375" bestFit="1" customWidth="1"/>
    <col min="2830" max="2830" width="3.7109375" customWidth="1"/>
    <col min="2832" max="2832" width="14.5703125" bestFit="1" customWidth="1"/>
    <col min="2833" max="2833" width="12.28515625" bestFit="1" customWidth="1"/>
    <col min="3074" max="3074" width="6.5703125" customWidth="1"/>
    <col min="3075" max="3075" width="8.7109375" bestFit="1" customWidth="1"/>
    <col min="3076" max="3076" width="9" bestFit="1" customWidth="1"/>
    <col min="3077" max="3077" width="12" bestFit="1" customWidth="1"/>
    <col min="3083" max="3084" width="9" bestFit="1" customWidth="1"/>
    <col min="3085" max="3085" width="8.7109375" bestFit="1" customWidth="1"/>
    <col min="3086" max="3086" width="3.7109375" customWidth="1"/>
    <col min="3088" max="3088" width="14.5703125" bestFit="1" customWidth="1"/>
    <col min="3089" max="3089" width="12.28515625" bestFit="1" customWidth="1"/>
    <col min="3330" max="3330" width="6.5703125" customWidth="1"/>
    <col min="3331" max="3331" width="8.7109375" bestFit="1" customWidth="1"/>
    <col min="3332" max="3332" width="9" bestFit="1" customWidth="1"/>
    <col min="3333" max="3333" width="12" bestFit="1" customWidth="1"/>
    <col min="3339" max="3340" width="9" bestFit="1" customWidth="1"/>
    <col min="3341" max="3341" width="8.7109375" bestFit="1" customWidth="1"/>
    <col min="3342" max="3342" width="3.7109375" customWidth="1"/>
    <col min="3344" max="3344" width="14.5703125" bestFit="1" customWidth="1"/>
    <col min="3345" max="3345" width="12.28515625" bestFit="1" customWidth="1"/>
    <col min="3586" max="3586" width="6.5703125" customWidth="1"/>
    <col min="3587" max="3587" width="8.7109375" bestFit="1" customWidth="1"/>
    <col min="3588" max="3588" width="9" bestFit="1" customWidth="1"/>
    <col min="3589" max="3589" width="12" bestFit="1" customWidth="1"/>
    <col min="3595" max="3596" width="9" bestFit="1" customWidth="1"/>
    <col min="3597" max="3597" width="8.7109375" bestFit="1" customWidth="1"/>
    <col min="3598" max="3598" width="3.7109375" customWidth="1"/>
    <col min="3600" max="3600" width="14.5703125" bestFit="1" customWidth="1"/>
    <col min="3601" max="3601" width="12.28515625" bestFit="1" customWidth="1"/>
    <col min="3842" max="3842" width="6.5703125" customWidth="1"/>
    <col min="3843" max="3843" width="8.7109375" bestFit="1" customWidth="1"/>
    <col min="3844" max="3844" width="9" bestFit="1" customWidth="1"/>
    <col min="3845" max="3845" width="12" bestFit="1" customWidth="1"/>
    <col min="3851" max="3852" width="9" bestFit="1" customWidth="1"/>
    <col min="3853" max="3853" width="8.7109375" bestFit="1" customWidth="1"/>
    <col min="3854" max="3854" width="3.7109375" customWidth="1"/>
    <col min="3856" max="3856" width="14.5703125" bestFit="1" customWidth="1"/>
    <col min="3857" max="3857" width="12.28515625" bestFit="1" customWidth="1"/>
    <col min="4098" max="4098" width="6.5703125" customWidth="1"/>
    <col min="4099" max="4099" width="8.7109375" bestFit="1" customWidth="1"/>
    <col min="4100" max="4100" width="9" bestFit="1" customWidth="1"/>
    <col min="4101" max="4101" width="12" bestFit="1" customWidth="1"/>
    <col min="4107" max="4108" width="9" bestFit="1" customWidth="1"/>
    <col min="4109" max="4109" width="8.7109375" bestFit="1" customWidth="1"/>
    <col min="4110" max="4110" width="3.7109375" customWidth="1"/>
    <col min="4112" max="4112" width="14.5703125" bestFit="1" customWidth="1"/>
    <col min="4113" max="4113" width="12.28515625" bestFit="1" customWidth="1"/>
    <col min="4354" max="4354" width="6.5703125" customWidth="1"/>
    <col min="4355" max="4355" width="8.7109375" bestFit="1" customWidth="1"/>
    <col min="4356" max="4356" width="9" bestFit="1" customWidth="1"/>
    <col min="4357" max="4357" width="12" bestFit="1" customWidth="1"/>
    <col min="4363" max="4364" width="9" bestFit="1" customWidth="1"/>
    <col min="4365" max="4365" width="8.7109375" bestFit="1" customWidth="1"/>
    <col min="4366" max="4366" width="3.7109375" customWidth="1"/>
    <col min="4368" max="4368" width="14.5703125" bestFit="1" customWidth="1"/>
    <col min="4369" max="4369" width="12.28515625" bestFit="1" customWidth="1"/>
    <col min="4610" max="4610" width="6.5703125" customWidth="1"/>
    <col min="4611" max="4611" width="8.7109375" bestFit="1" customWidth="1"/>
    <col min="4612" max="4612" width="9" bestFit="1" customWidth="1"/>
    <col min="4613" max="4613" width="12" bestFit="1" customWidth="1"/>
    <col min="4619" max="4620" width="9" bestFit="1" customWidth="1"/>
    <col min="4621" max="4621" width="8.7109375" bestFit="1" customWidth="1"/>
    <col min="4622" max="4622" width="3.7109375" customWidth="1"/>
    <col min="4624" max="4624" width="14.5703125" bestFit="1" customWidth="1"/>
    <col min="4625" max="4625" width="12.28515625" bestFit="1" customWidth="1"/>
    <col min="4866" max="4866" width="6.5703125" customWidth="1"/>
    <col min="4867" max="4867" width="8.7109375" bestFit="1" customWidth="1"/>
    <col min="4868" max="4868" width="9" bestFit="1" customWidth="1"/>
    <col min="4869" max="4869" width="12" bestFit="1" customWidth="1"/>
    <col min="4875" max="4876" width="9" bestFit="1" customWidth="1"/>
    <col min="4877" max="4877" width="8.7109375" bestFit="1" customWidth="1"/>
    <col min="4878" max="4878" width="3.7109375" customWidth="1"/>
    <col min="4880" max="4880" width="14.5703125" bestFit="1" customWidth="1"/>
    <col min="4881" max="4881" width="12.28515625" bestFit="1" customWidth="1"/>
    <col min="5122" max="5122" width="6.5703125" customWidth="1"/>
    <col min="5123" max="5123" width="8.7109375" bestFit="1" customWidth="1"/>
    <col min="5124" max="5124" width="9" bestFit="1" customWidth="1"/>
    <col min="5125" max="5125" width="12" bestFit="1" customWidth="1"/>
    <col min="5131" max="5132" width="9" bestFit="1" customWidth="1"/>
    <col min="5133" max="5133" width="8.7109375" bestFit="1" customWidth="1"/>
    <col min="5134" max="5134" width="3.7109375" customWidth="1"/>
    <col min="5136" max="5136" width="14.5703125" bestFit="1" customWidth="1"/>
    <col min="5137" max="5137" width="12.28515625" bestFit="1" customWidth="1"/>
    <col min="5378" max="5378" width="6.5703125" customWidth="1"/>
    <col min="5379" max="5379" width="8.7109375" bestFit="1" customWidth="1"/>
    <col min="5380" max="5380" width="9" bestFit="1" customWidth="1"/>
    <col min="5381" max="5381" width="12" bestFit="1" customWidth="1"/>
    <col min="5387" max="5388" width="9" bestFit="1" customWidth="1"/>
    <col min="5389" max="5389" width="8.7109375" bestFit="1" customWidth="1"/>
    <col min="5390" max="5390" width="3.7109375" customWidth="1"/>
    <col min="5392" max="5392" width="14.5703125" bestFit="1" customWidth="1"/>
    <col min="5393" max="5393" width="12.28515625" bestFit="1" customWidth="1"/>
    <col min="5634" max="5634" width="6.5703125" customWidth="1"/>
    <col min="5635" max="5635" width="8.7109375" bestFit="1" customWidth="1"/>
    <col min="5636" max="5636" width="9" bestFit="1" customWidth="1"/>
    <col min="5637" max="5637" width="12" bestFit="1" customWidth="1"/>
    <col min="5643" max="5644" width="9" bestFit="1" customWidth="1"/>
    <col min="5645" max="5645" width="8.7109375" bestFit="1" customWidth="1"/>
    <col min="5646" max="5646" width="3.7109375" customWidth="1"/>
    <col min="5648" max="5648" width="14.5703125" bestFit="1" customWidth="1"/>
    <col min="5649" max="5649" width="12.28515625" bestFit="1" customWidth="1"/>
    <col min="5890" max="5890" width="6.5703125" customWidth="1"/>
    <col min="5891" max="5891" width="8.7109375" bestFit="1" customWidth="1"/>
    <col min="5892" max="5892" width="9" bestFit="1" customWidth="1"/>
    <col min="5893" max="5893" width="12" bestFit="1" customWidth="1"/>
    <col min="5899" max="5900" width="9" bestFit="1" customWidth="1"/>
    <col min="5901" max="5901" width="8.7109375" bestFit="1" customWidth="1"/>
    <col min="5902" max="5902" width="3.7109375" customWidth="1"/>
    <col min="5904" max="5904" width="14.5703125" bestFit="1" customWidth="1"/>
    <col min="5905" max="5905" width="12.28515625" bestFit="1" customWidth="1"/>
    <col min="6146" max="6146" width="6.5703125" customWidth="1"/>
    <col min="6147" max="6147" width="8.7109375" bestFit="1" customWidth="1"/>
    <col min="6148" max="6148" width="9" bestFit="1" customWidth="1"/>
    <col min="6149" max="6149" width="12" bestFit="1" customWidth="1"/>
    <col min="6155" max="6156" width="9" bestFit="1" customWidth="1"/>
    <col min="6157" max="6157" width="8.7109375" bestFit="1" customWidth="1"/>
    <col min="6158" max="6158" width="3.7109375" customWidth="1"/>
    <col min="6160" max="6160" width="14.5703125" bestFit="1" customWidth="1"/>
    <col min="6161" max="6161" width="12.28515625" bestFit="1" customWidth="1"/>
    <col min="6402" max="6402" width="6.5703125" customWidth="1"/>
    <col min="6403" max="6403" width="8.7109375" bestFit="1" customWidth="1"/>
    <col min="6404" max="6404" width="9" bestFit="1" customWidth="1"/>
    <col min="6405" max="6405" width="12" bestFit="1" customWidth="1"/>
    <col min="6411" max="6412" width="9" bestFit="1" customWidth="1"/>
    <col min="6413" max="6413" width="8.7109375" bestFit="1" customWidth="1"/>
    <col min="6414" max="6414" width="3.7109375" customWidth="1"/>
    <col min="6416" max="6416" width="14.5703125" bestFit="1" customWidth="1"/>
    <col min="6417" max="6417" width="12.28515625" bestFit="1" customWidth="1"/>
    <col min="6658" max="6658" width="6.5703125" customWidth="1"/>
    <col min="6659" max="6659" width="8.7109375" bestFit="1" customWidth="1"/>
    <col min="6660" max="6660" width="9" bestFit="1" customWidth="1"/>
    <col min="6661" max="6661" width="12" bestFit="1" customWidth="1"/>
    <col min="6667" max="6668" width="9" bestFit="1" customWidth="1"/>
    <col min="6669" max="6669" width="8.7109375" bestFit="1" customWidth="1"/>
    <col min="6670" max="6670" width="3.7109375" customWidth="1"/>
    <col min="6672" max="6672" width="14.5703125" bestFit="1" customWidth="1"/>
    <col min="6673" max="6673" width="12.28515625" bestFit="1" customWidth="1"/>
    <col min="6914" max="6914" width="6.5703125" customWidth="1"/>
    <col min="6915" max="6915" width="8.7109375" bestFit="1" customWidth="1"/>
    <col min="6916" max="6916" width="9" bestFit="1" customWidth="1"/>
    <col min="6917" max="6917" width="12" bestFit="1" customWidth="1"/>
    <col min="6923" max="6924" width="9" bestFit="1" customWidth="1"/>
    <col min="6925" max="6925" width="8.7109375" bestFit="1" customWidth="1"/>
    <col min="6926" max="6926" width="3.7109375" customWidth="1"/>
    <col min="6928" max="6928" width="14.5703125" bestFit="1" customWidth="1"/>
    <col min="6929" max="6929" width="12.28515625" bestFit="1" customWidth="1"/>
    <col min="7170" max="7170" width="6.5703125" customWidth="1"/>
    <col min="7171" max="7171" width="8.7109375" bestFit="1" customWidth="1"/>
    <col min="7172" max="7172" width="9" bestFit="1" customWidth="1"/>
    <col min="7173" max="7173" width="12" bestFit="1" customWidth="1"/>
    <col min="7179" max="7180" width="9" bestFit="1" customWidth="1"/>
    <col min="7181" max="7181" width="8.7109375" bestFit="1" customWidth="1"/>
    <col min="7182" max="7182" width="3.7109375" customWidth="1"/>
    <col min="7184" max="7184" width="14.5703125" bestFit="1" customWidth="1"/>
    <col min="7185" max="7185" width="12.28515625" bestFit="1" customWidth="1"/>
    <col min="7426" max="7426" width="6.5703125" customWidth="1"/>
    <col min="7427" max="7427" width="8.7109375" bestFit="1" customWidth="1"/>
    <col min="7428" max="7428" width="9" bestFit="1" customWidth="1"/>
    <col min="7429" max="7429" width="12" bestFit="1" customWidth="1"/>
    <col min="7435" max="7436" width="9" bestFit="1" customWidth="1"/>
    <col min="7437" max="7437" width="8.7109375" bestFit="1" customWidth="1"/>
    <col min="7438" max="7438" width="3.7109375" customWidth="1"/>
    <col min="7440" max="7440" width="14.5703125" bestFit="1" customWidth="1"/>
    <col min="7441" max="7441" width="12.28515625" bestFit="1" customWidth="1"/>
    <col min="7682" max="7682" width="6.5703125" customWidth="1"/>
    <col min="7683" max="7683" width="8.7109375" bestFit="1" customWidth="1"/>
    <col min="7684" max="7684" width="9" bestFit="1" customWidth="1"/>
    <col min="7685" max="7685" width="12" bestFit="1" customWidth="1"/>
    <col min="7691" max="7692" width="9" bestFit="1" customWidth="1"/>
    <col min="7693" max="7693" width="8.7109375" bestFit="1" customWidth="1"/>
    <col min="7694" max="7694" width="3.7109375" customWidth="1"/>
    <col min="7696" max="7696" width="14.5703125" bestFit="1" customWidth="1"/>
    <col min="7697" max="7697" width="12.28515625" bestFit="1" customWidth="1"/>
    <col min="7938" max="7938" width="6.5703125" customWidth="1"/>
    <col min="7939" max="7939" width="8.7109375" bestFit="1" customWidth="1"/>
    <col min="7940" max="7940" width="9" bestFit="1" customWidth="1"/>
    <col min="7941" max="7941" width="12" bestFit="1" customWidth="1"/>
    <col min="7947" max="7948" width="9" bestFit="1" customWidth="1"/>
    <col min="7949" max="7949" width="8.7109375" bestFit="1" customWidth="1"/>
    <col min="7950" max="7950" width="3.7109375" customWidth="1"/>
    <col min="7952" max="7952" width="14.5703125" bestFit="1" customWidth="1"/>
    <col min="7953" max="7953" width="12.28515625" bestFit="1" customWidth="1"/>
    <col min="8194" max="8194" width="6.5703125" customWidth="1"/>
    <col min="8195" max="8195" width="8.7109375" bestFit="1" customWidth="1"/>
    <col min="8196" max="8196" width="9" bestFit="1" customWidth="1"/>
    <col min="8197" max="8197" width="12" bestFit="1" customWidth="1"/>
    <col min="8203" max="8204" width="9" bestFit="1" customWidth="1"/>
    <col min="8205" max="8205" width="8.7109375" bestFit="1" customWidth="1"/>
    <col min="8206" max="8206" width="3.7109375" customWidth="1"/>
    <col min="8208" max="8208" width="14.5703125" bestFit="1" customWidth="1"/>
    <col min="8209" max="8209" width="12.28515625" bestFit="1" customWidth="1"/>
    <col min="8450" max="8450" width="6.5703125" customWidth="1"/>
    <col min="8451" max="8451" width="8.7109375" bestFit="1" customWidth="1"/>
    <col min="8452" max="8452" width="9" bestFit="1" customWidth="1"/>
    <col min="8453" max="8453" width="12" bestFit="1" customWidth="1"/>
    <col min="8459" max="8460" width="9" bestFit="1" customWidth="1"/>
    <col min="8461" max="8461" width="8.7109375" bestFit="1" customWidth="1"/>
    <col min="8462" max="8462" width="3.7109375" customWidth="1"/>
    <col min="8464" max="8464" width="14.5703125" bestFit="1" customWidth="1"/>
    <col min="8465" max="8465" width="12.28515625" bestFit="1" customWidth="1"/>
    <col min="8706" max="8706" width="6.5703125" customWidth="1"/>
    <col min="8707" max="8707" width="8.7109375" bestFit="1" customWidth="1"/>
    <col min="8708" max="8708" width="9" bestFit="1" customWidth="1"/>
    <col min="8709" max="8709" width="12" bestFit="1" customWidth="1"/>
    <col min="8715" max="8716" width="9" bestFit="1" customWidth="1"/>
    <col min="8717" max="8717" width="8.7109375" bestFit="1" customWidth="1"/>
    <col min="8718" max="8718" width="3.7109375" customWidth="1"/>
    <col min="8720" max="8720" width="14.5703125" bestFit="1" customWidth="1"/>
    <col min="8721" max="8721" width="12.28515625" bestFit="1" customWidth="1"/>
    <col min="8962" max="8962" width="6.5703125" customWidth="1"/>
    <col min="8963" max="8963" width="8.7109375" bestFit="1" customWidth="1"/>
    <col min="8964" max="8964" width="9" bestFit="1" customWidth="1"/>
    <col min="8965" max="8965" width="12" bestFit="1" customWidth="1"/>
    <col min="8971" max="8972" width="9" bestFit="1" customWidth="1"/>
    <col min="8973" max="8973" width="8.7109375" bestFit="1" customWidth="1"/>
    <col min="8974" max="8974" width="3.7109375" customWidth="1"/>
    <col min="8976" max="8976" width="14.5703125" bestFit="1" customWidth="1"/>
    <col min="8977" max="8977" width="12.28515625" bestFit="1" customWidth="1"/>
    <col min="9218" max="9218" width="6.5703125" customWidth="1"/>
    <col min="9219" max="9219" width="8.7109375" bestFit="1" customWidth="1"/>
    <col min="9220" max="9220" width="9" bestFit="1" customWidth="1"/>
    <col min="9221" max="9221" width="12" bestFit="1" customWidth="1"/>
    <col min="9227" max="9228" width="9" bestFit="1" customWidth="1"/>
    <col min="9229" max="9229" width="8.7109375" bestFit="1" customWidth="1"/>
    <col min="9230" max="9230" width="3.7109375" customWidth="1"/>
    <col min="9232" max="9232" width="14.5703125" bestFit="1" customWidth="1"/>
    <col min="9233" max="9233" width="12.28515625" bestFit="1" customWidth="1"/>
    <col min="9474" max="9474" width="6.5703125" customWidth="1"/>
    <col min="9475" max="9475" width="8.7109375" bestFit="1" customWidth="1"/>
    <col min="9476" max="9476" width="9" bestFit="1" customWidth="1"/>
    <col min="9477" max="9477" width="12" bestFit="1" customWidth="1"/>
    <col min="9483" max="9484" width="9" bestFit="1" customWidth="1"/>
    <col min="9485" max="9485" width="8.7109375" bestFit="1" customWidth="1"/>
    <col min="9486" max="9486" width="3.7109375" customWidth="1"/>
    <col min="9488" max="9488" width="14.5703125" bestFit="1" customWidth="1"/>
    <col min="9489" max="9489" width="12.28515625" bestFit="1" customWidth="1"/>
    <col min="9730" max="9730" width="6.5703125" customWidth="1"/>
    <col min="9731" max="9731" width="8.7109375" bestFit="1" customWidth="1"/>
    <col min="9732" max="9732" width="9" bestFit="1" customWidth="1"/>
    <col min="9733" max="9733" width="12" bestFit="1" customWidth="1"/>
    <col min="9739" max="9740" width="9" bestFit="1" customWidth="1"/>
    <col min="9741" max="9741" width="8.7109375" bestFit="1" customWidth="1"/>
    <col min="9742" max="9742" width="3.7109375" customWidth="1"/>
    <col min="9744" max="9744" width="14.5703125" bestFit="1" customWidth="1"/>
    <col min="9745" max="9745" width="12.28515625" bestFit="1" customWidth="1"/>
    <col min="9986" max="9986" width="6.5703125" customWidth="1"/>
    <col min="9987" max="9987" width="8.7109375" bestFit="1" customWidth="1"/>
    <col min="9988" max="9988" width="9" bestFit="1" customWidth="1"/>
    <col min="9989" max="9989" width="12" bestFit="1" customWidth="1"/>
    <col min="9995" max="9996" width="9" bestFit="1" customWidth="1"/>
    <col min="9997" max="9997" width="8.7109375" bestFit="1" customWidth="1"/>
    <col min="9998" max="9998" width="3.7109375" customWidth="1"/>
    <col min="10000" max="10000" width="14.5703125" bestFit="1" customWidth="1"/>
    <col min="10001" max="10001" width="12.28515625" bestFit="1" customWidth="1"/>
    <col min="10242" max="10242" width="6.5703125" customWidth="1"/>
    <col min="10243" max="10243" width="8.7109375" bestFit="1" customWidth="1"/>
    <col min="10244" max="10244" width="9" bestFit="1" customWidth="1"/>
    <col min="10245" max="10245" width="12" bestFit="1" customWidth="1"/>
    <col min="10251" max="10252" width="9" bestFit="1" customWidth="1"/>
    <col min="10253" max="10253" width="8.7109375" bestFit="1" customWidth="1"/>
    <col min="10254" max="10254" width="3.7109375" customWidth="1"/>
    <col min="10256" max="10256" width="14.5703125" bestFit="1" customWidth="1"/>
    <col min="10257" max="10257" width="12.28515625" bestFit="1" customWidth="1"/>
    <col min="10498" max="10498" width="6.5703125" customWidth="1"/>
    <col min="10499" max="10499" width="8.7109375" bestFit="1" customWidth="1"/>
    <col min="10500" max="10500" width="9" bestFit="1" customWidth="1"/>
    <col min="10501" max="10501" width="12" bestFit="1" customWidth="1"/>
    <col min="10507" max="10508" width="9" bestFit="1" customWidth="1"/>
    <col min="10509" max="10509" width="8.7109375" bestFit="1" customWidth="1"/>
    <col min="10510" max="10510" width="3.7109375" customWidth="1"/>
    <col min="10512" max="10512" width="14.5703125" bestFit="1" customWidth="1"/>
    <col min="10513" max="10513" width="12.28515625" bestFit="1" customWidth="1"/>
    <col min="10754" max="10754" width="6.5703125" customWidth="1"/>
    <col min="10755" max="10755" width="8.7109375" bestFit="1" customWidth="1"/>
    <col min="10756" max="10756" width="9" bestFit="1" customWidth="1"/>
    <col min="10757" max="10757" width="12" bestFit="1" customWidth="1"/>
    <col min="10763" max="10764" width="9" bestFit="1" customWidth="1"/>
    <col min="10765" max="10765" width="8.7109375" bestFit="1" customWidth="1"/>
    <col min="10766" max="10766" width="3.7109375" customWidth="1"/>
    <col min="10768" max="10768" width="14.5703125" bestFit="1" customWidth="1"/>
    <col min="10769" max="10769" width="12.28515625" bestFit="1" customWidth="1"/>
    <col min="11010" max="11010" width="6.5703125" customWidth="1"/>
    <col min="11011" max="11011" width="8.7109375" bestFit="1" customWidth="1"/>
    <col min="11012" max="11012" width="9" bestFit="1" customWidth="1"/>
    <col min="11013" max="11013" width="12" bestFit="1" customWidth="1"/>
    <col min="11019" max="11020" width="9" bestFit="1" customWidth="1"/>
    <col min="11021" max="11021" width="8.7109375" bestFit="1" customWidth="1"/>
    <col min="11022" max="11022" width="3.7109375" customWidth="1"/>
    <col min="11024" max="11024" width="14.5703125" bestFit="1" customWidth="1"/>
    <col min="11025" max="11025" width="12.28515625" bestFit="1" customWidth="1"/>
    <col min="11266" max="11266" width="6.5703125" customWidth="1"/>
    <col min="11267" max="11267" width="8.7109375" bestFit="1" customWidth="1"/>
    <col min="11268" max="11268" width="9" bestFit="1" customWidth="1"/>
    <col min="11269" max="11269" width="12" bestFit="1" customWidth="1"/>
    <col min="11275" max="11276" width="9" bestFit="1" customWidth="1"/>
    <col min="11277" max="11277" width="8.7109375" bestFit="1" customWidth="1"/>
    <col min="11278" max="11278" width="3.7109375" customWidth="1"/>
    <col min="11280" max="11280" width="14.5703125" bestFit="1" customWidth="1"/>
    <col min="11281" max="11281" width="12.28515625" bestFit="1" customWidth="1"/>
    <col min="11522" max="11522" width="6.5703125" customWidth="1"/>
    <col min="11523" max="11523" width="8.7109375" bestFit="1" customWidth="1"/>
    <col min="11524" max="11524" width="9" bestFit="1" customWidth="1"/>
    <col min="11525" max="11525" width="12" bestFit="1" customWidth="1"/>
    <col min="11531" max="11532" width="9" bestFit="1" customWidth="1"/>
    <col min="11533" max="11533" width="8.7109375" bestFit="1" customWidth="1"/>
    <col min="11534" max="11534" width="3.7109375" customWidth="1"/>
    <col min="11536" max="11536" width="14.5703125" bestFit="1" customWidth="1"/>
    <col min="11537" max="11537" width="12.28515625" bestFit="1" customWidth="1"/>
    <col min="11778" max="11778" width="6.5703125" customWidth="1"/>
    <col min="11779" max="11779" width="8.7109375" bestFit="1" customWidth="1"/>
    <col min="11780" max="11780" width="9" bestFit="1" customWidth="1"/>
    <col min="11781" max="11781" width="12" bestFit="1" customWidth="1"/>
    <col min="11787" max="11788" width="9" bestFit="1" customWidth="1"/>
    <col min="11789" max="11789" width="8.7109375" bestFit="1" customWidth="1"/>
    <col min="11790" max="11790" width="3.7109375" customWidth="1"/>
    <col min="11792" max="11792" width="14.5703125" bestFit="1" customWidth="1"/>
    <col min="11793" max="11793" width="12.28515625" bestFit="1" customWidth="1"/>
    <col min="12034" max="12034" width="6.5703125" customWidth="1"/>
    <col min="12035" max="12035" width="8.7109375" bestFit="1" customWidth="1"/>
    <col min="12036" max="12036" width="9" bestFit="1" customWidth="1"/>
    <col min="12037" max="12037" width="12" bestFit="1" customWidth="1"/>
    <col min="12043" max="12044" width="9" bestFit="1" customWidth="1"/>
    <col min="12045" max="12045" width="8.7109375" bestFit="1" customWidth="1"/>
    <col min="12046" max="12046" width="3.7109375" customWidth="1"/>
    <col min="12048" max="12048" width="14.5703125" bestFit="1" customWidth="1"/>
    <col min="12049" max="12049" width="12.28515625" bestFit="1" customWidth="1"/>
    <col min="12290" max="12290" width="6.5703125" customWidth="1"/>
    <col min="12291" max="12291" width="8.7109375" bestFit="1" customWidth="1"/>
    <col min="12292" max="12292" width="9" bestFit="1" customWidth="1"/>
    <col min="12293" max="12293" width="12" bestFit="1" customWidth="1"/>
    <col min="12299" max="12300" width="9" bestFit="1" customWidth="1"/>
    <col min="12301" max="12301" width="8.7109375" bestFit="1" customWidth="1"/>
    <col min="12302" max="12302" width="3.7109375" customWidth="1"/>
    <col min="12304" max="12304" width="14.5703125" bestFit="1" customWidth="1"/>
    <col min="12305" max="12305" width="12.28515625" bestFit="1" customWidth="1"/>
    <col min="12546" max="12546" width="6.5703125" customWidth="1"/>
    <col min="12547" max="12547" width="8.7109375" bestFit="1" customWidth="1"/>
    <col min="12548" max="12548" width="9" bestFit="1" customWidth="1"/>
    <col min="12549" max="12549" width="12" bestFit="1" customWidth="1"/>
    <col min="12555" max="12556" width="9" bestFit="1" customWidth="1"/>
    <col min="12557" max="12557" width="8.7109375" bestFit="1" customWidth="1"/>
    <col min="12558" max="12558" width="3.7109375" customWidth="1"/>
    <col min="12560" max="12560" width="14.5703125" bestFit="1" customWidth="1"/>
    <col min="12561" max="12561" width="12.28515625" bestFit="1" customWidth="1"/>
    <col min="12802" max="12802" width="6.5703125" customWidth="1"/>
    <col min="12803" max="12803" width="8.7109375" bestFit="1" customWidth="1"/>
    <col min="12804" max="12804" width="9" bestFit="1" customWidth="1"/>
    <col min="12805" max="12805" width="12" bestFit="1" customWidth="1"/>
    <col min="12811" max="12812" width="9" bestFit="1" customWidth="1"/>
    <col min="12813" max="12813" width="8.7109375" bestFit="1" customWidth="1"/>
    <col min="12814" max="12814" width="3.7109375" customWidth="1"/>
    <col min="12816" max="12816" width="14.5703125" bestFit="1" customWidth="1"/>
    <col min="12817" max="12817" width="12.28515625" bestFit="1" customWidth="1"/>
    <col min="13058" max="13058" width="6.5703125" customWidth="1"/>
    <col min="13059" max="13059" width="8.7109375" bestFit="1" customWidth="1"/>
    <col min="13060" max="13060" width="9" bestFit="1" customWidth="1"/>
    <col min="13061" max="13061" width="12" bestFit="1" customWidth="1"/>
    <col min="13067" max="13068" width="9" bestFit="1" customWidth="1"/>
    <col min="13069" max="13069" width="8.7109375" bestFit="1" customWidth="1"/>
    <col min="13070" max="13070" width="3.7109375" customWidth="1"/>
    <col min="13072" max="13072" width="14.5703125" bestFit="1" customWidth="1"/>
    <col min="13073" max="13073" width="12.28515625" bestFit="1" customWidth="1"/>
    <col min="13314" max="13314" width="6.5703125" customWidth="1"/>
    <col min="13315" max="13315" width="8.7109375" bestFit="1" customWidth="1"/>
    <col min="13316" max="13316" width="9" bestFit="1" customWidth="1"/>
    <col min="13317" max="13317" width="12" bestFit="1" customWidth="1"/>
    <col min="13323" max="13324" width="9" bestFit="1" customWidth="1"/>
    <col min="13325" max="13325" width="8.7109375" bestFit="1" customWidth="1"/>
    <col min="13326" max="13326" width="3.7109375" customWidth="1"/>
    <col min="13328" max="13328" width="14.5703125" bestFit="1" customWidth="1"/>
    <col min="13329" max="13329" width="12.28515625" bestFit="1" customWidth="1"/>
    <col min="13570" max="13570" width="6.5703125" customWidth="1"/>
    <col min="13571" max="13571" width="8.7109375" bestFit="1" customWidth="1"/>
    <col min="13572" max="13572" width="9" bestFit="1" customWidth="1"/>
    <col min="13573" max="13573" width="12" bestFit="1" customWidth="1"/>
    <col min="13579" max="13580" width="9" bestFit="1" customWidth="1"/>
    <col min="13581" max="13581" width="8.7109375" bestFit="1" customWidth="1"/>
    <col min="13582" max="13582" width="3.7109375" customWidth="1"/>
    <col min="13584" max="13584" width="14.5703125" bestFit="1" customWidth="1"/>
    <col min="13585" max="13585" width="12.28515625" bestFit="1" customWidth="1"/>
    <col min="13826" max="13826" width="6.5703125" customWidth="1"/>
    <col min="13827" max="13827" width="8.7109375" bestFit="1" customWidth="1"/>
    <col min="13828" max="13828" width="9" bestFit="1" customWidth="1"/>
    <col min="13829" max="13829" width="12" bestFit="1" customWidth="1"/>
    <col min="13835" max="13836" width="9" bestFit="1" customWidth="1"/>
    <col min="13837" max="13837" width="8.7109375" bestFit="1" customWidth="1"/>
    <col min="13838" max="13838" width="3.7109375" customWidth="1"/>
    <col min="13840" max="13840" width="14.5703125" bestFit="1" customWidth="1"/>
    <col min="13841" max="13841" width="12.28515625" bestFit="1" customWidth="1"/>
    <col min="14082" max="14082" width="6.5703125" customWidth="1"/>
    <col min="14083" max="14083" width="8.7109375" bestFit="1" customWidth="1"/>
    <col min="14084" max="14084" width="9" bestFit="1" customWidth="1"/>
    <col min="14085" max="14085" width="12" bestFit="1" customWidth="1"/>
    <col min="14091" max="14092" width="9" bestFit="1" customWidth="1"/>
    <col min="14093" max="14093" width="8.7109375" bestFit="1" customWidth="1"/>
    <col min="14094" max="14094" width="3.7109375" customWidth="1"/>
    <col min="14096" max="14096" width="14.5703125" bestFit="1" customWidth="1"/>
    <col min="14097" max="14097" width="12.28515625" bestFit="1" customWidth="1"/>
    <col min="14338" max="14338" width="6.5703125" customWidth="1"/>
    <col min="14339" max="14339" width="8.7109375" bestFit="1" customWidth="1"/>
    <col min="14340" max="14340" width="9" bestFit="1" customWidth="1"/>
    <col min="14341" max="14341" width="12" bestFit="1" customWidth="1"/>
    <col min="14347" max="14348" width="9" bestFit="1" customWidth="1"/>
    <col min="14349" max="14349" width="8.7109375" bestFit="1" customWidth="1"/>
    <col min="14350" max="14350" width="3.7109375" customWidth="1"/>
    <col min="14352" max="14352" width="14.5703125" bestFit="1" customWidth="1"/>
    <col min="14353" max="14353" width="12.28515625" bestFit="1" customWidth="1"/>
    <col min="14594" max="14594" width="6.5703125" customWidth="1"/>
    <col min="14595" max="14595" width="8.7109375" bestFit="1" customWidth="1"/>
    <col min="14596" max="14596" width="9" bestFit="1" customWidth="1"/>
    <col min="14597" max="14597" width="12" bestFit="1" customWidth="1"/>
    <col min="14603" max="14604" width="9" bestFit="1" customWidth="1"/>
    <col min="14605" max="14605" width="8.7109375" bestFit="1" customWidth="1"/>
    <col min="14606" max="14606" width="3.7109375" customWidth="1"/>
    <col min="14608" max="14608" width="14.5703125" bestFit="1" customWidth="1"/>
    <col min="14609" max="14609" width="12.28515625" bestFit="1" customWidth="1"/>
    <col min="14850" max="14850" width="6.5703125" customWidth="1"/>
    <col min="14851" max="14851" width="8.7109375" bestFit="1" customWidth="1"/>
    <col min="14852" max="14852" width="9" bestFit="1" customWidth="1"/>
    <col min="14853" max="14853" width="12" bestFit="1" customWidth="1"/>
    <col min="14859" max="14860" width="9" bestFit="1" customWidth="1"/>
    <col min="14861" max="14861" width="8.7109375" bestFit="1" customWidth="1"/>
    <col min="14862" max="14862" width="3.7109375" customWidth="1"/>
    <col min="14864" max="14864" width="14.5703125" bestFit="1" customWidth="1"/>
    <col min="14865" max="14865" width="12.28515625" bestFit="1" customWidth="1"/>
    <col min="15106" max="15106" width="6.5703125" customWidth="1"/>
    <col min="15107" max="15107" width="8.7109375" bestFit="1" customWidth="1"/>
    <col min="15108" max="15108" width="9" bestFit="1" customWidth="1"/>
    <col min="15109" max="15109" width="12" bestFit="1" customWidth="1"/>
    <col min="15115" max="15116" width="9" bestFit="1" customWidth="1"/>
    <col min="15117" max="15117" width="8.7109375" bestFit="1" customWidth="1"/>
    <col min="15118" max="15118" width="3.7109375" customWidth="1"/>
    <col min="15120" max="15120" width="14.5703125" bestFit="1" customWidth="1"/>
    <col min="15121" max="15121" width="12.28515625" bestFit="1" customWidth="1"/>
    <col min="15362" max="15362" width="6.5703125" customWidth="1"/>
    <col min="15363" max="15363" width="8.7109375" bestFit="1" customWidth="1"/>
    <col min="15364" max="15364" width="9" bestFit="1" customWidth="1"/>
    <col min="15365" max="15365" width="12" bestFit="1" customWidth="1"/>
    <col min="15371" max="15372" width="9" bestFit="1" customWidth="1"/>
    <col min="15373" max="15373" width="8.7109375" bestFit="1" customWidth="1"/>
    <col min="15374" max="15374" width="3.7109375" customWidth="1"/>
    <col min="15376" max="15376" width="14.5703125" bestFit="1" customWidth="1"/>
    <col min="15377" max="15377" width="12.28515625" bestFit="1" customWidth="1"/>
    <col min="15618" max="15618" width="6.5703125" customWidth="1"/>
    <col min="15619" max="15619" width="8.7109375" bestFit="1" customWidth="1"/>
    <col min="15620" max="15620" width="9" bestFit="1" customWidth="1"/>
    <col min="15621" max="15621" width="12" bestFit="1" customWidth="1"/>
    <col min="15627" max="15628" width="9" bestFit="1" customWidth="1"/>
    <col min="15629" max="15629" width="8.7109375" bestFit="1" customWidth="1"/>
    <col min="15630" max="15630" width="3.7109375" customWidth="1"/>
    <col min="15632" max="15632" width="14.5703125" bestFit="1" customWidth="1"/>
    <col min="15633" max="15633" width="12.28515625" bestFit="1" customWidth="1"/>
    <col min="15874" max="15874" width="6.5703125" customWidth="1"/>
    <col min="15875" max="15875" width="8.7109375" bestFit="1" customWidth="1"/>
    <col min="15876" max="15876" width="9" bestFit="1" customWidth="1"/>
    <col min="15877" max="15877" width="12" bestFit="1" customWidth="1"/>
    <col min="15883" max="15884" width="9" bestFit="1" customWidth="1"/>
    <col min="15885" max="15885" width="8.7109375" bestFit="1" customWidth="1"/>
    <col min="15886" max="15886" width="3.7109375" customWidth="1"/>
    <col min="15888" max="15888" width="14.5703125" bestFit="1" customWidth="1"/>
    <col min="15889" max="15889" width="12.28515625" bestFit="1" customWidth="1"/>
    <col min="16130" max="16130" width="6.5703125" customWidth="1"/>
    <col min="16131" max="16131" width="8.7109375" bestFit="1" customWidth="1"/>
    <col min="16132" max="16132" width="9" bestFit="1" customWidth="1"/>
    <col min="16133" max="16133" width="12" bestFit="1" customWidth="1"/>
    <col min="16139" max="16140" width="9" bestFit="1" customWidth="1"/>
    <col min="16141" max="16141" width="8.7109375" bestFit="1" customWidth="1"/>
    <col min="16142" max="16142" width="3.7109375" customWidth="1"/>
    <col min="16144" max="16144" width="14.5703125" bestFit="1" customWidth="1"/>
    <col min="16145" max="16145" width="12.28515625" bestFit="1" customWidth="1"/>
  </cols>
  <sheetData>
    <row r="1" spans="1:18" x14ac:dyDescent="0.2">
      <c r="A1" s="52" t="str">
        <f>"Commodity Value Timeframe:  "&amp;TEXT(A7,"mmmm")&amp;" - "&amp;TEXT(A12,"mmmm")</f>
        <v>Commodity Value Timeframe:  May - October</v>
      </c>
      <c r="B1" s="53"/>
    </row>
    <row r="2" spans="1:18" x14ac:dyDescent="0.2">
      <c r="A2" s="54" t="str">
        <f>[12]WUTC_KENT_SF!A1</f>
        <v>Kent-Meridian Disposal</v>
      </c>
      <c r="B2" s="54"/>
    </row>
    <row r="3" spans="1:18" x14ac:dyDescent="0.2">
      <c r="A3" s="54"/>
      <c r="B3" s="54"/>
    </row>
    <row r="4" spans="1:18" x14ac:dyDescent="0.2">
      <c r="B4" s="64"/>
      <c r="C4" s="56" t="s">
        <v>21</v>
      </c>
      <c r="D4" s="56" t="s">
        <v>22</v>
      </c>
      <c r="E4" s="56" t="s">
        <v>55</v>
      </c>
      <c r="F4" s="56" t="s">
        <v>23</v>
      </c>
      <c r="G4" s="56" t="s">
        <v>24</v>
      </c>
      <c r="H4" s="56" t="s">
        <v>25</v>
      </c>
      <c r="I4" s="56" t="s">
        <v>26</v>
      </c>
      <c r="J4" s="56" t="s">
        <v>27</v>
      </c>
      <c r="K4" s="56" t="s">
        <v>28</v>
      </c>
      <c r="L4" s="56" t="s">
        <v>29</v>
      </c>
      <c r="M4" s="56" t="s">
        <v>30</v>
      </c>
      <c r="N4"/>
      <c r="O4" s="67"/>
    </row>
    <row r="5" spans="1:18" x14ac:dyDescent="0.2">
      <c r="B5" s="64"/>
      <c r="C5" s="64"/>
      <c r="D5" s="64"/>
      <c r="E5" s="64"/>
      <c r="F5" s="64"/>
      <c r="G5" s="64"/>
      <c r="H5" s="64"/>
      <c r="I5" s="64"/>
      <c r="J5" s="64"/>
      <c r="K5" s="64"/>
      <c r="L5" s="64"/>
      <c r="M5" s="64"/>
      <c r="N5"/>
      <c r="O5" s="67" t="str">
        <f>+TEXT(P20,"00.0%")&amp;" of"</f>
        <v>50.0% of</v>
      </c>
    </row>
    <row r="6" spans="1:18" x14ac:dyDescent="0.2">
      <c r="B6" s="64"/>
      <c r="C6" s="64"/>
      <c r="D6" s="64"/>
      <c r="E6" s="64"/>
      <c r="F6" s="64"/>
      <c r="G6" s="64"/>
      <c r="H6" s="64"/>
      <c r="I6" s="64"/>
      <c r="J6" s="64"/>
      <c r="K6" s="64"/>
      <c r="L6" s="64"/>
      <c r="M6" s="64"/>
      <c r="N6"/>
      <c r="O6" s="67" t="s">
        <v>30</v>
      </c>
      <c r="P6" s="56" t="s">
        <v>68</v>
      </c>
      <c r="Q6" s="378"/>
    </row>
    <row r="7" spans="1:18" x14ac:dyDescent="0.2">
      <c r="A7" s="59">
        <f>+[12]Pricing!A7</f>
        <v>43221</v>
      </c>
      <c r="B7" s="64"/>
      <c r="C7" s="69">
        <f>'[12]Commodity Tonnages'!C7*[12]Pricing!C7</f>
        <v>5060.916044999999</v>
      </c>
      <c r="D7" s="69">
        <f>'[12]Commodity Tonnages'!D7*[12]Pricing!D7</f>
        <v>-2783.0126188800004</v>
      </c>
      <c r="E7" s="69">
        <f>'[12]Commodity Tonnages'!E7*[12]Pricing!E7</f>
        <v>0</v>
      </c>
      <c r="F7" s="69">
        <f>'[12]Commodity Tonnages'!F7*[12]Pricing!F7</f>
        <v>931.97316960000001</v>
      </c>
      <c r="G7" s="69">
        <f>'[12]Commodity Tonnages'!G7*[12]Pricing!G7</f>
        <v>0</v>
      </c>
      <c r="H7" s="69">
        <f>'[12]Commodity Tonnages'!H7*[12]Pricing!H7</f>
        <v>-4608.5224492799989</v>
      </c>
      <c r="I7" s="69">
        <f>'[12]Commodity Tonnages'!I7*[12]Pricing!I7</f>
        <v>1405.5694727399998</v>
      </c>
      <c r="J7" s="69">
        <f>'[12]Commodity Tonnages'!J7*[12]Pricing!J7</f>
        <v>1405.5694727399998</v>
      </c>
      <c r="K7" s="69">
        <f>'[12]Commodity Tonnages'!K7*[12]Pricing!K7</f>
        <v>4832.7703142399996</v>
      </c>
      <c r="L7" s="69">
        <f>'[12]Commodity Tonnages'!L7*[12]Pricing!L7</f>
        <v>-4973.5564909200111</v>
      </c>
      <c r="M7" s="65">
        <f t="shared" ref="M7:M18" si="0">SUM(C7:L7)</f>
        <v>1271.7069152399872</v>
      </c>
      <c r="N7"/>
      <c r="O7" s="139">
        <f t="shared" ref="O7:O18" si="1">M7*P7</f>
        <v>635.85345761999361</v>
      </c>
      <c r="P7" s="362">
        <v>0.5</v>
      </c>
      <c r="Q7" s="361"/>
      <c r="R7" s="68"/>
    </row>
    <row r="8" spans="1:18" x14ac:dyDescent="0.2">
      <c r="A8" s="59">
        <f>+[12]Pricing!A8</f>
        <v>43281</v>
      </c>
      <c r="B8" s="64"/>
      <c r="C8" s="69">
        <f>'[12]Commodity Tonnages'!C8*[12]Pricing!C8</f>
        <v>5209.763559</v>
      </c>
      <c r="D8" s="69">
        <f>'[12]Commodity Tonnages'!D8*[12]Pricing!D8</f>
        <v>-2099.0510340800001</v>
      </c>
      <c r="E8" s="69">
        <f>'[12]Commodity Tonnages'!E8*[12]Pricing!E8</f>
        <v>0</v>
      </c>
      <c r="F8" s="69">
        <f>'[12]Commodity Tonnages'!F8*[12]Pricing!F8</f>
        <v>953.05820610000001</v>
      </c>
      <c r="G8" s="69">
        <f>'[12]Commodity Tonnages'!G8*[12]Pricing!G8</f>
        <v>0</v>
      </c>
      <c r="H8" s="69">
        <f>'[12]Commodity Tonnages'!H8*[12]Pricing!H8</f>
        <v>641.47283199999981</v>
      </c>
      <c r="I8" s="69">
        <f>'[12]Commodity Tonnages'!I8*[12]Pricing!I8</f>
        <v>1225.53955524</v>
      </c>
      <c r="J8" s="69">
        <f>'[12]Commodity Tonnages'!J8*[12]Pricing!J8</f>
        <v>1225.53955524</v>
      </c>
      <c r="K8" s="69">
        <f>'[12]Commodity Tonnages'!K8*[12]Pricing!K8</f>
        <v>6647.8344332399993</v>
      </c>
      <c r="L8" s="69">
        <f>'[12]Commodity Tonnages'!L8*[12]Pricing!L8</f>
        <v>-4953.284275940011</v>
      </c>
      <c r="M8" s="65">
        <f t="shared" si="0"/>
        <v>8850.8728307999882</v>
      </c>
      <c r="N8"/>
      <c r="O8" s="139">
        <f t="shared" si="1"/>
        <v>4425.4364153999941</v>
      </c>
      <c r="P8" s="362">
        <v>0.5</v>
      </c>
      <c r="Q8" s="361"/>
      <c r="R8" s="68"/>
    </row>
    <row r="9" spans="1:18" x14ac:dyDescent="0.2">
      <c r="A9" s="59">
        <f>+[12]Pricing!A9</f>
        <v>43312</v>
      </c>
      <c r="B9" s="60"/>
      <c r="C9" s="69">
        <f>'[12]Commodity Tonnages'!C9*[12]Pricing!C9</f>
        <v>5181.4846545000009</v>
      </c>
      <c r="D9" s="69">
        <f>'[12]Commodity Tonnages'!D9*[12]Pricing!D9</f>
        <v>-409.39337712000003</v>
      </c>
      <c r="E9" s="69">
        <f>'[12]Commodity Tonnages'!E9*[12]Pricing!E9</f>
        <v>0</v>
      </c>
      <c r="F9" s="69">
        <f>'[12]Commodity Tonnages'!F9*[12]Pricing!F9</f>
        <v>974.54506379999998</v>
      </c>
      <c r="G9" s="69">
        <f>'[12]Commodity Tonnages'!G9*[12]Pricing!G9</f>
        <v>0</v>
      </c>
      <c r="H9" s="69">
        <f>'[12]Commodity Tonnages'!H9*[12]Pricing!H9</f>
        <v>1404.5165590399997</v>
      </c>
      <c r="I9" s="69">
        <f>'[12]Commodity Tonnages'!I9*[12]Pricing!I9</f>
        <v>1590.55472037</v>
      </c>
      <c r="J9" s="69">
        <f>'[12]Commodity Tonnages'!J9*[12]Pricing!J9</f>
        <v>1590.55472037</v>
      </c>
      <c r="K9" s="69">
        <f>'[12]Commodity Tonnages'!K9*[12]Pricing!K9</f>
        <v>7903.6396639200002</v>
      </c>
      <c r="L9" s="69">
        <f>'[12]Commodity Tonnages'!L9*[12]Pricing!L9</f>
        <v>-5176.7575119400117</v>
      </c>
      <c r="M9" s="65">
        <f t="shared" si="0"/>
        <v>13059.14449293999</v>
      </c>
      <c r="N9" s="65"/>
      <c r="O9" s="139">
        <f t="shared" si="1"/>
        <v>6529.5722464699948</v>
      </c>
      <c r="P9" s="362">
        <v>0.5</v>
      </c>
      <c r="Q9" s="361"/>
      <c r="R9" s="68"/>
    </row>
    <row r="10" spans="1:18" x14ac:dyDescent="0.2">
      <c r="A10" s="59">
        <f>+[12]Pricing!A10</f>
        <v>43343</v>
      </c>
      <c r="B10" s="60"/>
      <c r="C10" s="69">
        <f>'[12]Commodity Tonnages'!C10*[12]Pricing!C10</f>
        <v>5392.0608555000008</v>
      </c>
      <c r="D10" s="69">
        <f>'[12]Commodity Tonnages'!D10*[12]Pricing!D10</f>
        <v>88.308983359999999</v>
      </c>
      <c r="E10" s="69">
        <f>'[12]Commodity Tonnages'!E10*[12]Pricing!E10</f>
        <v>0</v>
      </c>
      <c r="F10" s="69">
        <f>'[12]Commodity Tonnages'!F10*[12]Pricing!F10</f>
        <v>688.83396450000009</v>
      </c>
      <c r="G10" s="69">
        <f>'[12]Commodity Tonnages'!G10*[12]Pricing!G10</f>
        <v>0</v>
      </c>
      <c r="H10" s="69">
        <f>'[12]Commodity Tonnages'!H10*[12]Pricing!H10</f>
        <v>2937.1457708799994</v>
      </c>
      <c r="I10" s="69">
        <f>'[12]Commodity Tonnages'!I10*[12]Pricing!I10</f>
        <v>2553.3312185</v>
      </c>
      <c r="J10" s="69">
        <f>'[12]Commodity Tonnages'!J10*[12]Pricing!J10</f>
        <v>2553.3312185</v>
      </c>
      <c r="K10" s="69">
        <f>'[12]Commodity Tonnages'!K10*[12]Pricing!K10</f>
        <v>7293.8662790400003</v>
      </c>
      <c r="L10" s="69">
        <f>'[12]Commodity Tonnages'!L10*[12]Pricing!L10</f>
        <v>-5387.1416012600121</v>
      </c>
      <c r="M10" s="65">
        <f t="shared" si="0"/>
        <v>16119.736689019985</v>
      </c>
      <c r="N10" s="65"/>
      <c r="O10" s="139">
        <f t="shared" si="1"/>
        <v>8059.8683445099923</v>
      </c>
      <c r="P10" s="362">
        <v>0.5</v>
      </c>
      <c r="Q10" s="361"/>
      <c r="R10" s="68"/>
    </row>
    <row r="11" spans="1:18" x14ac:dyDescent="0.2">
      <c r="A11" s="59">
        <f>+[12]Pricing!A11</f>
        <v>43373</v>
      </c>
      <c r="B11" s="60"/>
      <c r="C11" s="69">
        <f>'[12]Commodity Tonnages'!C11*[12]Pricing!C11</f>
        <v>3881.2328265000006</v>
      </c>
      <c r="D11" s="69">
        <f>'[12]Commodity Tonnages'!D11*[12]Pricing!D11</f>
        <v>-1423.1126509600003</v>
      </c>
      <c r="E11" s="69">
        <f>'[12]Commodity Tonnages'!E11*[12]Pricing!E11</f>
        <v>0</v>
      </c>
      <c r="F11" s="69">
        <f>'[12]Commodity Tonnages'!F11*[12]Pricing!F11</f>
        <v>632.29210275000014</v>
      </c>
      <c r="G11" s="69">
        <f>'[12]Commodity Tonnages'!G11*[12]Pricing!G11</f>
        <v>0</v>
      </c>
      <c r="H11" s="69">
        <f>'[12]Commodity Tonnages'!H11*[12]Pricing!H11</f>
        <v>7648.6973647999966</v>
      </c>
      <c r="I11" s="69">
        <f>'[12]Commodity Tonnages'!I11*[12]Pricing!I11</f>
        <v>973.6896743650002</v>
      </c>
      <c r="J11" s="69">
        <f>'[12]Commodity Tonnages'!J11*[12]Pricing!J11</f>
        <v>973.6896743650002</v>
      </c>
      <c r="K11" s="69">
        <f>'[12]Commodity Tonnages'!K11*[12]Pricing!K11</f>
        <v>6260.1003333000008</v>
      </c>
      <c r="L11" s="69">
        <f>'[12]Commodity Tonnages'!L11*[12]Pricing!L11</f>
        <v>-4391.1692755300101</v>
      </c>
      <c r="M11" s="65">
        <f t="shared" si="0"/>
        <v>14555.420049589986</v>
      </c>
      <c r="N11" s="65"/>
      <c r="O11" s="139">
        <f t="shared" si="1"/>
        <v>7277.7100247949929</v>
      </c>
      <c r="P11" s="362">
        <v>0.5</v>
      </c>
      <c r="Q11" s="361"/>
      <c r="R11" s="68"/>
    </row>
    <row r="12" spans="1:18" x14ac:dyDescent="0.2">
      <c r="A12" s="59">
        <f>+[12]Pricing!A12</f>
        <v>43404</v>
      </c>
      <c r="B12" s="60"/>
      <c r="C12" s="69">
        <f>'[12]Commodity Tonnages'!C12*[12]Pricing!C12</f>
        <v>4525.1981302500008</v>
      </c>
      <c r="D12" s="69">
        <f>'[12]Commodity Tonnages'!D12*[12]Pricing!D12</f>
        <v>-1936.6124450400005</v>
      </c>
      <c r="E12" s="69">
        <f>'[12]Commodity Tonnages'!E12*[12]Pricing!E12</f>
        <v>0</v>
      </c>
      <c r="F12" s="69">
        <f>'[12]Commodity Tonnages'!F12*[12]Pricing!F12</f>
        <v>847.62638730000015</v>
      </c>
      <c r="G12" s="69">
        <f>'[12]Commodity Tonnages'!G12*[12]Pricing!G12</f>
        <v>0</v>
      </c>
      <c r="H12" s="69">
        <f>'[12]Commodity Tonnages'!H12*[12]Pricing!H12</f>
        <v>8751.0825662399966</v>
      </c>
      <c r="I12" s="69">
        <f>'[12]Commodity Tonnages'!I12*[12]Pricing!I12</f>
        <v>1110.2107218300002</v>
      </c>
      <c r="J12" s="69">
        <f>'[12]Commodity Tonnages'!J12*[12]Pricing!J12</f>
        <v>1110.2107218300002</v>
      </c>
      <c r="K12" s="69">
        <f>'[12]Commodity Tonnages'!K12*[12]Pricing!K12</f>
        <v>8393.257635840002</v>
      </c>
      <c r="L12" s="69">
        <f>'[12]Commodity Tonnages'!L12*[12]Pricing!L12</f>
        <v>-5244.3581658300118</v>
      </c>
      <c r="M12" s="65">
        <f t="shared" si="0"/>
        <v>17556.615552419993</v>
      </c>
      <c r="N12" s="65"/>
      <c r="O12" s="139">
        <f t="shared" si="1"/>
        <v>8778.3077762099965</v>
      </c>
      <c r="P12" s="362">
        <v>0.5</v>
      </c>
      <c r="Q12" s="361"/>
      <c r="R12" s="68"/>
    </row>
    <row r="13" spans="1:18" x14ac:dyDescent="0.2">
      <c r="A13" s="59">
        <f>+[12]Pricing!A13</f>
        <v>43434</v>
      </c>
      <c r="B13" s="60"/>
      <c r="C13" s="69">
        <f>'[12]Commodity Tonnages'!C13*[12]Pricing!C13</f>
        <v>0</v>
      </c>
      <c r="D13" s="69">
        <f>'[12]Commodity Tonnages'!D13*[12]Pricing!D13</f>
        <v>0</v>
      </c>
      <c r="E13" s="69">
        <f>'[12]Commodity Tonnages'!E13*[12]Pricing!E13</f>
        <v>0</v>
      </c>
      <c r="F13" s="69">
        <f>'[12]Commodity Tonnages'!F13*[12]Pricing!F13</f>
        <v>0</v>
      </c>
      <c r="G13" s="69">
        <f>'[12]Commodity Tonnages'!G13*[12]Pricing!G13</f>
        <v>0</v>
      </c>
      <c r="H13" s="69">
        <f>'[12]Commodity Tonnages'!H13*[12]Pricing!H13</f>
        <v>0</v>
      </c>
      <c r="I13" s="69">
        <f>'[12]Commodity Tonnages'!I13*[12]Pricing!I13</f>
        <v>0</v>
      </c>
      <c r="J13" s="69">
        <f>'[12]Commodity Tonnages'!J13*[12]Pricing!J13</f>
        <v>0</v>
      </c>
      <c r="K13" s="69">
        <f>'[12]Commodity Tonnages'!K13*[12]Pricing!K13</f>
        <v>0</v>
      </c>
      <c r="L13" s="69">
        <f>'[12]Commodity Tonnages'!L13*[12]Pricing!L13</f>
        <v>0</v>
      </c>
      <c r="M13" s="65">
        <f t="shared" si="0"/>
        <v>0</v>
      </c>
      <c r="N13" s="65"/>
      <c r="O13" s="139">
        <f t="shared" si="1"/>
        <v>0</v>
      </c>
      <c r="P13" s="362">
        <v>0.5</v>
      </c>
      <c r="Q13" s="361"/>
      <c r="R13" s="68"/>
    </row>
    <row r="14" spans="1:18" x14ac:dyDescent="0.2">
      <c r="A14" s="59">
        <f>+[12]Pricing!A14</f>
        <v>43465</v>
      </c>
      <c r="B14" s="60"/>
      <c r="C14" s="69">
        <f>'[12]Commodity Tonnages'!C14*[12]Pricing!C14</f>
        <v>0</v>
      </c>
      <c r="D14" s="69">
        <f>'[12]Commodity Tonnages'!D14*[12]Pricing!D14</f>
        <v>0</v>
      </c>
      <c r="E14" s="69">
        <f>'[12]Commodity Tonnages'!E14*[12]Pricing!E14</f>
        <v>0</v>
      </c>
      <c r="F14" s="69">
        <f>'[12]Commodity Tonnages'!F14*[12]Pricing!F14</f>
        <v>0</v>
      </c>
      <c r="G14" s="69">
        <f>'[12]Commodity Tonnages'!G14*[12]Pricing!G14</f>
        <v>0</v>
      </c>
      <c r="H14" s="69">
        <f>'[12]Commodity Tonnages'!H14*[12]Pricing!H14</f>
        <v>0</v>
      </c>
      <c r="I14" s="69">
        <f>'[12]Commodity Tonnages'!I14*[12]Pricing!I14</f>
        <v>0</v>
      </c>
      <c r="J14" s="69">
        <f>'[12]Commodity Tonnages'!J14*[12]Pricing!J14</f>
        <v>0</v>
      </c>
      <c r="K14" s="69">
        <f>'[12]Commodity Tonnages'!K14*[12]Pricing!K14</f>
        <v>0</v>
      </c>
      <c r="L14" s="69">
        <f>'[12]Commodity Tonnages'!L14*[12]Pricing!L14</f>
        <v>0</v>
      </c>
      <c r="M14" s="65">
        <f t="shared" si="0"/>
        <v>0</v>
      </c>
      <c r="N14" s="65"/>
      <c r="O14" s="139">
        <f t="shared" si="1"/>
        <v>0</v>
      </c>
      <c r="P14" s="362">
        <v>0.5</v>
      </c>
      <c r="Q14" s="361"/>
      <c r="R14" s="68"/>
    </row>
    <row r="15" spans="1:18" x14ac:dyDescent="0.2">
      <c r="A15" s="59">
        <f>+[12]Pricing!A15</f>
        <v>43496</v>
      </c>
      <c r="B15" s="60"/>
      <c r="C15" s="69">
        <f>'[12]Commodity Tonnages'!C15*[12]Pricing!C15</f>
        <v>0</v>
      </c>
      <c r="D15" s="69">
        <f>'[12]Commodity Tonnages'!D15*[12]Pricing!D15</f>
        <v>0</v>
      </c>
      <c r="E15" s="69">
        <f>'[12]Commodity Tonnages'!E15*[12]Pricing!E15</f>
        <v>0</v>
      </c>
      <c r="F15" s="69">
        <f>'[12]Commodity Tonnages'!F15*[12]Pricing!F15</f>
        <v>0</v>
      </c>
      <c r="G15" s="69">
        <f>'[12]Commodity Tonnages'!G15*[12]Pricing!G15</f>
        <v>0</v>
      </c>
      <c r="H15" s="69">
        <f>'[12]Commodity Tonnages'!H15*[12]Pricing!H15</f>
        <v>0</v>
      </c>
      <c r="I15" s="69">
        <f>'[12]Commodity Tonnages'!I15*[12]Pricing!I15</f>
        <v>0</v>
      </c>
      <c r="J15" s="69">
        <f>'[12]Commodity Tonnages'!J15*[12]Pricing!J15</f>
        <v>0</v>
      </c>
      <c r="K15" s="69">
        <f>'[12]Commodity Tonnages'!K15*[12]Pricing!K15</f>
        <v>0</v>
      </c>
      <c r="L15" s="69">
        <f>'[12]Commodity Tonnages'!L15*[12]Pricing!L15</f>
        <v>0</v>
      </c>
      <c r="M15" s="65">
        <f t="shared" si="0"/>
        <v>0</v>
      </c>
      <c r="N15" s="65"/>
      <c r="O15" s="139">
        <f t="shared" si="1"/>
        <v>0</v>
      </c>
      <c r="P15" s="362">
        <v>0.5</v>
      </c>
      <c r="Q15" s="361"/>
      <c r="R15" s="68"/>
    </row>
    <row r="16" spans="1:18" x14ac:dyDescent="0.2">
      <c r="A16" s="59">
        <f>+[12]Pricing!A16</f>
        <v>43524</v>
      </c>
      <c r="B16" s="60"/>
      <c r="C16" s="69">
        <f>'[12]Commodity Tonnages'!C16*[12]Pricing!C16</f>
        <v>0</v>
      </c>
      <c r="D16" s="69">
        <f>'[12]Commodity Tonnages'!D16*[12]Pricing!D16</f>
        <v>0</v>
      </c>
      <c r="E16" s="69">
        <f>'[12]Commodity Tonnages'!E16*[12]Pricing!E16</f>
        <v>0</v>
      </c>
      <c r="F16" s="69">
        <f>'[12]Commodity Tonnages'!F16*[12]Pricing!F16</f>
        <v>0</v>
      </c>
      <c r="G16" s="69">
        <f>'[12]Commodity Tonnages'!G16*[12]Pricing!G16</f>
        <v>0</v>
      </c>
      <c r="H16" s="69">
        <f>'[12]Commodity Tonnages'!H16*[12]Pricing!H16</f>
        <v>0</v>
      </c>
      <c r="I16" s="69">
        <f>'[12]Commodity Tonnages'!I16*[12]Pricing!I16</f>
        <v>0</v>
      </c>
      <c r="J16" s="69">
        <f>'[12]Commodity Tonnages'!J16*[12]Pricing!J16</f>
        <v>0</v>
      </c>
      <c r="K16" s="69">
        <f>'[12]Commodity Tonnages'!K16*[12]Pricing!K16</f>
        <v>0</v>
      </c>
      <c r="L16" s="69">
        <f>'[12]Commodity Tonnages'!L16*[12]Pricing!L16</f>
        <v>0</v>
      </c>
      <c r="M16" s="65">
        <f t="shared" si="0"/>
        <v>0</v>
      </c>
      <c r="N16" s="65"/>
      <c r="O16" s="139">
        <f t="shared" si="1"/>
        <v>0</v>
      </c>
      <c r="P16" s="362">
        <v>0.5</v>
      </c>
      <c r="Q16" s="361"/>
      <c r="R16" s="68"/>
    </row>
    <row r="17" spans="1:18" x14ac:dyDescent="0.2">
      <c r="A17" s="59">
        <f>+[12]Pricing!A17</f>
        <v>43555</v>
      </c>
      <c r="B17" s="60"/>
      <c r="C17" s="69">
        <f>'[12]Commodity Tonnages'!C17*[12]Pricing!C17</f>
        <v>0</v>
      </c>
      <c r="D17" s="69">
        <f>'[12]Commodity Tonnages'!D17*[12]Pricing!D17</f>
        <v>0</v>
      </c>
      <c r="E17" s="69">
        <f>'[12]Commodity Tonnages'!E17*[12]Pricing!E17</f>
        <v>0</v>
      </c>
      <c r="F17" s="69">
        <f>'[12]Commodity Tonnages'!F17*[12]Pricing!F17</f>
        <v>0</v>
      </c>
      <c r="G17" s="69">
        <f>'[12]Commodity Tonnages'!G17*[12]Pricing!G17</f>
        <v>0</v>
      </c>
      <c r="H17" s="69">
        <f>'[12]Commodity Tonnages'!H17*[12]Pricing!H17</f>
        <v>0</v>
      </c>
      <c r="I17" s="69">
        <f>'[12]Commodity Tonnages'!I17*[12]Pricing!I17</f>
        <v>0</v>
      </c>
      <c r="J17" s="69">
        <f>'[12]Commodity Tonnages'!J17*[12]Pricing!J17</f>
        <v>0</v>
      </c>
      <c r="K17" s="69">
        <f>'[12]Commodity Tonnages'!K17*[12]Pricing!K17</f>
        <v>0</v>
      </c>
      <c r="L17" s="69">
        <f>'[12]Commodity Tonnages'!L17*[12]Pricing!L17</f>
        <v>0</v>
      </c>
      <c r="M17" s="65">
        <f t="shared" si="0"/>
        <v>0</v>
      </c>
      <c r="N17" s="65"/>
      <c r="O17" s="139">
        <f t="shared" si="1"/>
        <v>0</v>
      </c>
      <c r="P17" s="362">
        <v>0.5</v>
      </c>
      <c r="Q17" s="361"/>
      <c r="R17" s="68"/>
    </row>
    <row r="18" spans="1:18" x14ac:dyDescent="0.2">
      <c r="A18" s="59">
        <f>+[12]Pricing!A18</f>
        <v>43585</v>
      </c>
      <c r="B18" s="60"/>
      <c r="C18" s="69">
        <f>'[12]Commodity Tonnages'!C18*[12]Pricing!C18</f>
        <v>0</v>
      </c>
      <c r="D18" s="69">
        <f>'[12]Commodity Tonnages'!D18*[12]Pricing!D18</f>
        <v>0</v>
      </c>
      <c r="E18" s="69">
        <f>'[12]Commodity Tonnages'!E18*[12]Pricing!E18</f>
        <v>0</v>
      </c>
      <c r="F18" s="69">
        <f>'[12]Commodity Tonnages'!F18*[12]Pricing!F18</f>
        <v>0</v>
      </c>
      <c r="G18" s="69">
        <f>'[12]Commodity Tonnages'!G18*[12]Pricing!G18</f>
        <v>0</v>
      </c>
      <c r="H18" s="69">
        <f>'[12]Commodity Tonnages'!H18*[12]Pricing!H18</f>
        <v>0</v>
      </c>
      <c r="I18" s="69">
        <f>'[12]Commodity Tonnages'!I18*[12]Pricing!I18</f>
        <v>0</v>
      </c>
      <c r="J18" s="69">
        <f>'[12]Commodity Tonnages'!J18*[12]Pricing!J18</f>
        <v>0</v>
      </c>
      <c r="K18" s="69">
        <f>'[12]Commodity Tonnages'!K18*[12]Pricing!K18</f>
        <v>0</v>
      </c>
      <c r="L18" s="69">
        <f>'[12]Commodity Tonnages'!L18*[12]Pricing!L18</f>
        <v>0</v>
      </c>
      <c r="M18" s="65">
        <f t="shared" si="0"/>
        <v>0</v>
      </c>
      <c r="N18" s="65"/>
      <c r="O18" s="139">
        <f t="shared" si="1"/>
        <v>0</v>
      </c>
      <c r="P18" s="362">
        <v>0.5</v>
      </c>
      <c r="Q18" s="361"/>
      <c r="R18" s="68"/>
    </row>
    <row r="19" spans="1:18" ht="6.75" customHeight="1" x14ac:dyDescent="0.2">
      <c r="A19" s="60"/>
      <c r="B19" s="60"/>
      <c r="C19" s="69"/>
      <c r="D19" s="69"/>
      <c r="E19" s="69"/>
      <c r="F19" s="69"/>
      <c r="G19" s="69"/>
      <c r="H19" s="69"/>
      <c r="I19" s="69"/>
      <c r="J19" s="69"/>
      <c r="K19" s="69"/>
      <c r="L19" s="69"/>
      <c r="M19" s="65"/>
      <c r="N19"/>
      <c r="O19" s="65"/>
      <c r="Q19" s="377"/>
    </row>
    <row r="20" spans="1:18" x14ac:dyDescent="0.2">
      <c r="A20" s="63" t="s">
        <v>33</v>
      </c>
      <c r="B20" s="60"/>
      <c r="C20" s="76">
        <f t="shared" ref="C20:L20" si="2">SUM(C7:C19)</f>
        <v>29250.656070750003</v>
      </c>
      <c r="D20" s="76">
        <f t="shared" si="2"/>
        <v>-8562.8731427200019</v>
      </c>
      <c r="E20" s="76">
        <f t="shared" si="2"/>
        <v>0</v>
      </c>
      <c r="F20" s="76">
        <f t="shared" si="2"/>
        <v>5028.3288940499997</v>
      </c>
      <c r="G20" s="76">
        <f t="shared" si="2"/>
        <v>0</v>
      </c>
      <c r="H20" s="76">
        <f t="shared" si="2"/>
        <v>16774.392643679996</v>
      </c>
      <c r="I20" s="76">
        <f t="shared" si="2"/>
        <v>8858.8953630449996</v>
      </c>
      <c r="J20" s="76">
        <f t="shared" si="2"/>
        <v>8858.8953630449996</v>
      </c>
      <c r="K20" s="76">
        <f t="shared" si="2"/>
        <v>41331.468659580009</v>
      </c>
      <c r="L20" s="76">
        <f t="shared" si="2"/>
        <v>-30126.267321420069</v>
      </c>
      <c r="M20" s="75">
        <f>SUM(C20:L20)</f>
        <v>71413.496530009928</v>
      </c>
      <c r="N20" s="61"/>
      <c r="O20" s="75">
        <f>SUM(O7:O19)</f>
        <v>35706.748265004964</v>
      </c>
      <c r="P20" s="113">
        <f>+O20/M20</f>
        <v>0.5</v>
      </c>
      <c r="Q20" s="377"/>
    </row>
    <row r="21" spans="1:18" x14ac:dyDescent="0.2">
      <c r="A21" s="60"/>
      <c r="B21" s="60"/>
      <c r="C21" s="65"/>
      <c r="D21" s="65"/>
      <c r="E21" s="65"/>
      <c r="F21" s="65"/>
      <c r="G21" s="65"/>
      <c r="H21" s="65"/>
      <c r="I21" s="65"/>
      <c r="J21" s="65"/>
      <c r="K21" s="65"/>
      <c r="L21" s="65"/>
      <c r="M21" s="65"/>
      <c r="N21"/>
      <c r="O21" s="66"/>
    </row>
    <row r="22" spans="1:18" x14ac:dyDescent="0.2">
      <c r="A22" s="60"/>
      <c r="B22" s="60"/>
      <c r="C22" s="60"/>
      <c r="D22" s="60"/>
      <c r="E22" s="60"/>
      <c r="F22" s="60"/>
      <c r="G22" s="60"/>
      <c r="H22" s="60"/>
      <c r="I22" s="60"/>
      <c r="J22" s="60"/>
      <c r="K22" s="60"/>
      <c r="L22" s="60"/>
      <c r="M22" s="61"/>
      <c r="N22"/>
      <c r="O22" s="66"/>
    </row>
    <row r="23" spans="1:18" x14ac:dyDescent="0.2">
      <c r="A23" s="60"/>
      <c r="B23" s="60"/>
      <c r="C23" s="60"/>
      <c r="D23" s="60"/>
      <c r="E23" s="60"/>
      <c r="F23" s="60"/>
      <c r="G23" s="60"/>
      <c r="H23" s="60"/>
      <c r="I23" s="60"/>
      <c r="J23" s="60"/>
      <c r="K23" s="60"/>
    </row>
    <row r="24" spans="1:18" x14ac:dyDescent="0.2">
      <c r="A24" s="60"/>
      <c r="B24" s="60"/>
      <c r="C24" s="60"/>
      <c r="D24" s="60"/>
      <c r="E24" s="60"/>
      <c r="F24" s="60"/>
      <c r="G24" s="60"/>
      <c r="H24" s="60"/>
      <c r="I24" s="60"/>
      <c r="J24" s="60"/>
      <c r="K24" s="60"/>
    </row>
    <row r="25" spans="1:18" x14ac:dyDescent="0.2">
      <c r="A25" s="60"/>
      <c r="B25" s="60"/>
      <c r="C25" s="60"/>
      <c r="D25" s="60"/>
      <c r="E25" s="60"/>
      <c r="F25" s="60"/>
      <c r="G25" s="60"/>
      <c r="H25" s="60"/>
      <c r="I25" s="60"/>
      <c r="J25" s="60"/>
      <c r="K25" s="60"/>
    </row>
    <row r="26" spans="1:18" x14ac:dyDescent="0.2">
      <c r="A26" s="60"/>
      <c r="B26" s="60"/>
      <c r="C26" s="60"/>
      <c r="D26" s="60"/>
      <c r="E26" s="60"/>
      <c r="F26" s="60"/>
      <c r="G26" s="60"/>
      <c r="H26" s="60"/>
      <c r="I26" s="60"/>
      <c r="J26" s="60"/>
      <c r="K26" s="60"/>
    </row>
    <row r="27" spans="1:18" x14ac:dyDescent="0.2">
      <c r="A27" s="60"/>
      <c r="B27" s="60"/>
      <c r="C27" s="60"/>
      <c r="D27" s="60"/>
      <c r="E27" s="60"/>
      <c r="F27" s="60"/>
      <c r="G27" s="60"/>
      <c r="H27" s="60"/>
      <c r="I27" s="60"/>
      <c r="J27" s="60"/>
      <c r="K27" s="60"/>
    </row>
    <row r="28" spans="1:18" x14ac:dyDescent="0.2">
      <c r="A28" s="60"/>
      <c r="B28" s="60"/>
      <c r="C28" s="60"/>
      <c r="D28" s="60"/>
      <c r="E28" s="60"/>
      <c r="F28" s="60"/>
      <c r="G28" s="60"/>
      <c r="H28" s="60"/>
      <c r="I28" s="60"/>
      <c r="J28" s="60"/>
      <c r="K28" s="60"/>
    </row>
    <row r="29" spans="1:18" x14ac:dyDescent="0.2">
      <c r="A29" s="60"/>
      <c r="B29" s="60"/>
      <c r="C29" s="60"/>
      <c r="D29" s="60"/>
      <c r="E29" s="60"/>
      <c r="F29" s="60"/>
      <c r="G29" s="60"/>
      <c r="H29" s="60"/>
      <c r="I29" s="60"/>
      <c r="J29" s="60"/>
      <c r="K29" s="60"/>
    </row>
    <row r="30" spans="1:18" x14ac:dyDescent="0.2">
      <c r="A30" s="60"/>
      <c r="B30" s="60"/>
      <c r="C30" s="60"/>
      <c r="D30" s="60"/>
      <c r="E30" s="60"/>
      <c r="F30" s="60"/>
      <c r="G30" s="60"/>
      <c r="H30" s="60"/>
      <c r="I30" s="60"/>
      <c r="J30" s="60"/>
      <c r="K30" s="60"/>
    </row>
    <row r="31" spans="1:18" x14ac:dyDescent="0.2">
      <c r="A31" s="60"/>
      <c r="B31" s="60"/>
      <c r="C31" s="60"/>
      <c r="D31" s="60"/>
      <c r="E31" s="60"/>
      <c r="F31" s="60"/>
      <c r="G31" s="60"/>
      <c r="H31" s="60"/>
      <c r="I31" s="60"/>
      <c r="J31" s="60"/>
      <c r="K31" s="60"/>
    </row>
    <row r="32" spans="1:18" x14ac:dyDescent="0.2">
      <c r="A32" s="60"/>
      <c r="B32" s="60"/>
      <c r="C32" s="60"/>
      <c r="D32" s="60"/>
      <c r="E32" s="60"/>
      <c r="F32" s="60"/>
      <c r="G32" s="60"/>
      <c r="H32" s="60"/>
      <c r="I32" s="60"/>
      <c r="J32" s="60"/>
      <c r="K32" s="60"/>
    </row>
    <row r="33" spans="1:11" x14ac:dyDescent="0.2">
      <c r="A33" s="60"/>
      <c r="B33" s="60"/>
      <c r="C33" s="60"/>
      <c r="D33" s="60"/>
      <c r="E33" s="60"/>
      <c r="F33" s="60"/>
      <c r="G33" s="60"/>
      <c r="H33" s="60"/>
      <c r="I33" s="60"/>
      <c r="J33" s="60"/>
      <c r="K33" s="60"/>
    </row>
    <row r="34" spans="1:11" x14ac:dyDescent="0.2">
      <c r="A34" s="60"/>
      <c r="B34" s="60"/>
      <c r="C34" s="60"/>
      <c r="D34" s="60"/>
      <c r="E34" s="60"/>
      <c r="F34" s="60"/>
      <c r="G34" s="60"/>
      <c r="H34" s="60"/>
      <c r="I34" s="60"/>
      <c r="J34" s="60"/>
      <c r="K34" s="60"/>
    </row>
    <row r="35" spans="1:11" x14ac:dyDescent="0.2">
      <c r="A35" s="60"/>
      <c r="B35" s="60"/>
      <c r="C35" s="60"/>
      <c r="D35" s="60"/>
      <c r="E35" s="60"/>
      <c r="F35" s="60"/>
      <c r="G35" s="60"/>
      <c r="H35" s="60"/>
      <c r="I35" s="60"/>
      <c r="J35" s="60"/>
      <c r="K35" s="60"/>
    </row>
    <row r="36" spans="1:11" x14ac:dyDescent="0.2">
      <c r="A36" s="60"/>
      <c r="B36" s="60"/>
      <c r="C36" s="60"/>
      <c r="D36" s="60"/>
      <c r="E36" s="60"/>
      <c r="F36" s="60"/>
      <c r="G36" s="60"/>
      <c r="H36" s="60"/>
      <c r="I36" s="60"/>
      <c r="J36" s="60"/>
      <c r="K36" s="60"/>
    </row>
    <row r="37" spans="1:11" x14ac:dyDescent="0.2">
      <c r="A37" s="60"/>
      <c r="B37" s="60"/>
      <c r="C37" s="60"/>
      <c r="D37" s="60"/>
      <c r="E37" s="60"/>
      <c r="F37" s="60"/>
      <c r="G37" s="60"/>
      <c r="H37" s="60"/>
      <c r="I37" s="60"/>
      <c r="J37" s="60"/>
      <c r="K37" s="60"/>
    </row>
    <row r="38" spans="1:11" x14ac:dyDescent="0.2">
      <c r="A38" s="60"/>
      <c r="B38" s="60"/>
      <c r="C38" s="60"/>
      <c r="D38" s="60"/>
      <c r="E38" s="60"/>
      <c r="F38" s="60"/>
      <c r="G38" s="60"/>
      <c r="H38" s="60"/>
      <c r="I38" s="60"/>
      <c r="J38" s="60"/>
      <c r="K38" s="60"/>
    </row>
    <row r="39" spans="1:11" x14ac:dyDescent="0.2">
      <c r="A39" s="60"/>
      <c r="B39" s="60"/>
      <c r="C39" s="60"/>
      <c r="D39" s="60"/>
      <c r="E39" s="60"/>
      <c r="F39" s="60"/>
      <c r="G39" s="60"/>
      <c r="H39" s="60"/>
      <c r="I39" s="60"/>
      <c r="J39" s="60"/>
      <c r="K39" s="60"/>
    </row>
    <row r="40" spans="1:11" x14ac:dyDescent="0.2">
      <c r="A40" s="60"/>
      <c r="B40" s="60"/>
      <c r="C40" s="60"/>
      <c r="D40" s="60"/>
      <c r="E40" s="60"/>
      <c r="F40" s="60"/>
      <c r="G40" s="60"/>
      <c r="H40" s="60"/>
      <c r="I40" s="60"/>
      <c r="J40" s="60"/>
      <c r="K40" s="60"/>
    </row>
    <row r="41" spans="1:11" x14ac:dyDescent="0.2">
      <c r="A41" s="60"/>
      <c r="B41" s="60"/>
      <c r="C41" s="60"/>
      <c r="D41" s="60"/>
      <c r="E41" s="60"/>
      <c r="F41" s="60"/>
      <c r="G41" s="60"/>
      <c r="H41" s="60"/>
      <c r="I41" s="60"/>
      <c r="J41" s="60"/>
      <c r="K41" s="60"/>
    </row>
    <row r="42" spans="1:11" x14ac:dyDescent="0.2">
      <c r="A42" s="60"/>
      <c r="B42" s="60"/>
      <c r="C42" s="60"/>
      <c r="D42" s="60"/>
      <c r="E42" s="60"/>
      <c r="F42" s="60"/>
      <c r="G42" s="60"/>
      <c r="H42" s="60"/>
      <c r="I42" s="60"/>
      <c r="J42" s="60"/>
      <c r="K42" s="60"/>
    </row>
    <row r="43" spans="1:11" x14ac:dyDescent="0.2">
      <c r="A43" s="60"/>
      <c r="B43" s="60"/>
      <c r="C43" s="60"/>
      <c r="D43" s="60"/>
      <c r="E43" s="60"/>
      <c r="F43" s="60"/>
      <c r="G43" s="60"/>
      <c r="H43" s="60"/>
      <c r="I43" s="60"/>
      <c r="J43" s="60"/>
      <c r="K43" s="60"/>
    </row>
    <row r="44" spans="1:11" x14ac:dyDescent="0.2">
      <c r="A44" s="60"/>
      <c r="B44" s="60"/>
      <c r="C44" s="60"/>
      <c r="D44" s="60"/>
      <c r="E44" s="60"/>
      <c r="F44" s="60"/>
      <c r="G44" s="60"/>
      <c r="H44" s="60"/>
      <c r="I44" s="60"/>
      <c r="J44" s="60"/>
      <c r="K44" s="60"/>
    </row>
    <row r="45" spans="1:11" x14ac:dyDescent="0.2">
      <c r="A45" s="60"/>
      <c r="B45" s="60"/>
      <c r="C45" s="60"/>
      <c r="D45" s="60"/>
      <c r="E45" s="60"/>
      <c r="F45" s="60"/>
      <c r="G45" s="60"/>
      <c r="H45" s="60"/>
      <c r="I45" s="60"/>
      <c r="J45" s="60"/>
      <c r="K45" s="60"/>
    </row>
    <row r="46" spans="1:11" x14ac:dyDescent="0.2">
      <c r="A46" s="60"/>
      <c r="B46" s="60"/>
      <c r="C46" s="60"/>
      <c r="D46" s="60"/>
      <c r="E46" s="60"/>
      <c r="F46" s="60"/>
      <c r="G46" s="60"/>
      <c r="H46" s="60"/>
      <c r="I46" s="60"/>
      <c r="J46" s="60"/>
      <c r="K46" s="60"/>
    </row>
    <row r="47" spans="1:11" x14ac:dyDescent="0.2">
      <c r="A47" s="60"/>
      <c r="B47" s="60"/>
      <c r="C47" s="60"/>
      <c r="D47" s="60"/>
      <c r="E47" s="60"/>
      <c r="F47" s="60"/>
      <c r="G47" s="60"/>
      <c r="H47" s="60"/>
      <c r="I47" s="60"/>
      <c r="J47" s="60"/>
      <c r="K47" s="60"/>
    </row>
    <row r="48" spans="1:11" x14ac:dyDescent="0.2">
      <c r="A48" s="60"/>
      <c r="B48" s="60"/>
      <c r="C48" s="60"/>
      <c r="D48" s="60"/>
      <c r="E48" s="60"/>
      <c r="F48" s="60"/>
      <c r="G48" s="60"/>
      <c r="H48" s="60"/>
      <c r="I48" s="60"/>
      <c r="J48" s="60"/>
      <c r="K48" s="60"/>
    </row>
    <row r="49" spans="1:11" x14ac:dyDescent="0.2">
      <c r="A49" s="60"/>
      <c r="B49" s="60"/>
      <c r="C49" s="60"/>
      <c r="D49" s="60"/>
      <c r="E49" s="60"/>
      <c r="F49" s="60"/>
      <c r="G49" s="60"/>
      <c r="H49" s="60"/>
      <c r="I49" s="60"/>
      <c r="J49" s="60"/>
      <c r="K49" s="60"/>
    </row>
    <row r="50" spans="1:11" x14ac:dyDescent="0.2">
      <c r="A50" s="60"/>
      <c r="B50" s="60"/>
      <c r="C50" s="60"/>
      <c r="D50" s="60"/>
      <c r="E50" s="60"/>
      <c r="F50" s="60"/>
      <c r="G50" s="60"/>
      <c r="H50" s="60"/>
      <c r="I50" s="60"/>
      <c r="J50" s="60"/>
      <c r="K50" s="60"/>
    </row>
    <row r="51" spans="1:11" x14ac:dyDescent="0.2">
      <c r="A51" s="60"/>
      <c r="B51" s="60"/>
      <c r="C51" s="60"/>
      <c r="D51" s="60"/>
      <c r="E51" s="60"/>
      <c r="F51" s="60"/>
      <c r="G51" s="60"/>
      <c r="H51" s="60"/>
      <c r="I51" s="60"/>
      <c r="J51" s="60"/>
      <c r="K51" s="60"/>
    </row>
    <row r="52" spans="1:11" x14ac:dyDescent="0.2">
      <c r="A52" s="60"/>
      <c r="B52" s="60"/>
      <c r="C52" s="60"/>
      <c r="D52" s="60"/>
      <c r="E52" s="60"/>
      <c r="F52" s="60"/>
      <c r="G52" s="60"/>
      <c r="H52" s="60"/>
      <c r="I52" s="60"/>
      <c r="J52" s="60"/>
      <c r="K52" s="60"/>
    </row>
    <row r="53" spans="1:11" x14ac:dyDescent="0.2">
      <c r="A53" s="60"/>
      <c r="B53" s="60"/>
      <c r="C53" s="60"/>
      <c r="D53" s="60"/>
      <c r="E53" s="60"/>
      <c r="F53" s="60"/>
      <c r="G53" s="60"/>
      <c r="H53" s="60"/>
      <c r="I53" s="60"/>
      <c r="J53" s="60"/>
      <c r="K53" s="60"/>
    </row>
    <row r="54" spans="1:11" x14ac:dyDescent="0.2">
      <c r="A54" s="60"/>
      <c r="B54" s="60"/>
      <c r="C54" s="60"/>
      <c r="D54" s="60"/>
      <c r="E54" s="60"/>
      <c r="F54" s="60"/>
      <c r="G54" s="60"/>
      <c r="H54" s="60"/>
      <c r="I54" s="60"/>
      <c r="J54" s="60"/>
      <c r="K54" s="60"/>
    </row>
    <row r="55" spans="1:11" x14ac:dyDescent="0.2">
      <c r="A55" s="60"/>
      <c r="B55" s="60"/>
      <c r="C55" s="60"/>
      <c r="D55" s="60"/>
      <c r="E55" s="60"/>
      <c r="F55" s="60"/>
      <c r="G55" s="60"/>
      <c r="H55" s="60"/>
      <c r="I55" s="60"/>
      <c r="J55" s="60"/>
      <c r="K55" s="60"/>
    </row>
    <row r="56" spans="1:11" x14ac:dyDescent="0.2">
      <c r="A56" s="60"/>
      <c r="B56" s="60"/>
      <c r="C56" s="60"/>
      <c r="D56" s="60"/>
      <c r="E56" s="60"/>
      <c r="F56" s="60"/>
      <c r="G56" s="60"/>
      <c r="H56" s="60"/>
      <c r="I56" s="60"/>
      <c r="J56" s="60"/>
      <c r="K56" s="60"/>
    </row>
    <row r="57" spans="1:11" x14ac:dyDescent="0.2">
      <c r="A57" s="60"/>
      <c r="B57" s="60"/>
      <c r="C57" s="60"/>
      <c r="D57" s="60"/>
      <c r="E57" s="60"/>
      <c r="F57" s="60"/>
      <c r="G57" s="60"/>
      <c r="H57" s="60"/>
      <c r="I57" s="60"/>
      <c r="J57" s="60"/>
      <c r="K57" s="60"/>
    </row>
    <row r="58" spans="1:11" x14ac:dyDescent="0.2">
      <c r="A58" s="60"/>
      <c r="B58" s="60"/>
      <c r="C58" s="60"/>
      <c r="D58" s="60"/>
      <c r="E58" s="60"/>
      <c r="F58" s="60"/>
      <c r="G58" s="60"/>
      <c r="H58" s="60"/>
      <c r="I58" s="60"/>
      <c r="J58" s="60"/>
      <c r="K58" s="60"/>
    </row>
    <row r="59" spans="1:11" x14ac:dyDescent="0.2">
      <c r="A59" s="60"/>
      <c r="B59" s="60"/>
      <c r="C59" s="60"/>
      <c r="D59" s="60"/>
      <c r="E59" s="60"/>
      <c r="F59" s="60"/>
      <c r="G59" s="60"/>
      <c r="H59" s="60"/>
      <c r="I59" s="60"/>
      <c r="J59" s="60"/>
      <c r="K59" s="60"/>
    </row>
    <row r="60" spans="1:11" x14ac:dyDescent="0.2">
      <c r="A60" s="60"/>
      <c r="B60" s="60"/>
      <c r="C60" s="60"/>
      <c r="D60" s="60"/>
      <c r="E60" s="60"/>
      <c r="F60" s="60"/>
      <c r="G60" s="60"/>
      <c r="H60" s="60"/>
      <c r="I60" s="60"/>
      <c r="J60" s="60"/>
      <c r="K60" s="60"/>
    </row>
    <row r="61" spans="1:11" x14ac:dyDescent="0.2">
      <c r="A61" s="60"/>
      <c r="B61" s="60"/>
      <c r="C61" s="60"/>
      <c r="D61" s="60"/>
      <c r="E61" s="60"/>
      <c r="F61" s="60"/>
      <c r="G61" s="60"/>
      <c r="H61" s="60"/>
      <c r="I61" s="60"/>
      <c r="J61" s="60"/>
      <c r="K61" s="60"/>
    </row>
    <row r="62" spans="1:11" x14ac:dyDescent="0.2">
      <c r="A62" s="60"/>
      <c r="B62" s="60"/>
      <c r="C62" s="60"/>
      <c r="D62" s="60"/>
      <c r="E62" s="60"/>
      <c r="F62" s="60"/>
      <c r="G62" s="60"/>
      <c r="H62" s="60"/>
      <c r="I62" s="60"/>
      <c r="J62" s="60"/>
      <c r="K62" s="60"/>
    </row>
    <row r="63" spans="1:11" x14ac:dyDescent="0.2">
      <c r="A63" s="60"/>
      <c r="B63" s="60"/>
      <c r="C63" s="60"/>
      <c r="D63" s="60"/>
      <c r="E63" s="60"/>
      <c r="F63" s="60"/>
      <c r="G63" s="60"/>
      <c r="H63" s="60"/>
      <c r="I63" s="60"/>
      <c r="J63" s="60"/>
      <c r="K63" s="60"/>
    </row>
    <row r="64" spans="1:11" x14ac:dyDescent="0.2">
      <c r="A64" s="60"/>
      <c r="B64" s="60"/>
      <c r="C64" s="60"/>
      <c r="D64" s="60"/>
      <c r="E64" s="60"/>
      <c r="F64" s="60"/>
      <c r="G64" s="60"/>
      <c r="H64" s="60"/>
      <c r="I64" s="60"/>
      <c r="J64" s="60"/>
      <c r="K64" s="60"/>
    </row>
    <row r="65" spans="1:11" x14ac:dyDescent="0.2">
      <c r="A65" s="60"/>
      <c r="B65" s="60"/>
      <c r="C65" s="60"/>
      <c r="D65" s="60"/>
      <c r="E65" s="60"/>
      <c r="F65" s="60"/>
      <c r="G65" s="60"/>
      <c r="H65" s="60"/>
      <c r="I65" s="60"/>
      <c r="J65" s="60"/>
      <c r="K65" s="60"/>
    </row>
    <row r="66" spans="1:11" x14ac:dyDescent="0.2">
      <c r="A66" s="60"/>
      <c r="B66" s="60"/>
      <c r="C66" s="60"/>
      <c r="D66" s="60"/>
      <c r="E66" s="60"/>
      <c r="F66" s="60"/>
      <c r="G66" s="60"/>
      <c r="H66" s="60"/>
      <c r="I66" s="60"/>
      <c r="J66" s="60"/>
      <c r="K66" s="60"/>
    </row>
    <row r="67" spans="1:11" x14ac:dyDescent="0.2">
      <c r="A67" s="60"/>
      <c r="B67" s="60"/>
      <c r="C67" s="60"/>
      <c r="D67" s="60"/>
      <c r="E67" s="60"/>
      <c r="F67" s="60"/>
      <c r="G67" s="60"/>
      <c r="H67" s="60"/>
      <c r="I67" s="60"/>
      <c r="J67" s="60"/>
      <c r="K67" s="60"/>
    </row>
    <row r="68" spans="1:11" x14ac:dyDescent="0.2">
      <c r="A68" s="60"/>
      <c r="B68" s="60"/>
      <c r="C68" s="60"/>
      <c r="D68" s="60"/>
      <c r="E68" s="60"/>
      <c r="F68" s="60"/>
      <c r="G68" s="60"/>
      <c r="H68" s="60"/>
      <c r="I68" s="60"/>
      <c r="J68" s="60"/>
      <c r="K68" s="60"/>
    </row>
    <row r="69" spans="1:11" x14ac:dyDescent="0.2">
      <c r="A69" s="60"/>
      <c r="B69" s="60"/>
      <c r="C69" s="60"/>
      <c r="D69" s="60"/>
      <c r="E69" s="60"/>
      <c r="F69" s="60"/>
      <c r="G69" s="60"/>
      <c r="H69" s="60"/>
      <c r="I69" s="60"/>
      <c r="J69" s="60"/>
      <c r="K69" s="60"/>
    </row>
    <row r="70" spans="1:11" x14ac:dyDescent="0.2">
      <c r="A70" s="60"/>
      <c r="B70" s="60"/>
      <c r="C70" s="60"/>
      <c r="D70" s="60"/>
      <c r="E70" s="60"/>
      <c r="F70" s="60"/>
      <c r="G70" s="60"/>
      <c r="H70" s="60"/>
      <c r="I70" s="60"/>
      <c r="J70" s="60"/>
      <c r="K70" s="60"/>
    </row>
    <row r="71" spans="1:11" x14ac:dyDescent="0.2">
      <c r="A71" s="60"/>
      <c r="B71" s="60"/>
      <c r="C71" s="60"/>
      <c r="D71" s="60"/>
      <c r="E71" s="60"/>
      <c r="F71" s="60"/>
      <c r="G71" s="60"/>
      <c r="H71" s="60"/>
      <c r="I71" s="60"/>
      <c r="J71" s="60"/>
      <c r="K71" s="60"/>
    </row>
    <row r="72" spans="1:11" x14ac:dyDescent="0.2">
      <c r="A72" s="60"/>
      <c r="B72" s="60"/>
      <c r="C72" s="60"/>
      <c r="D72" s="60"/>
      <c r="E72" s="60"/>
      <c r="F72" s="60"/>
      <c r="G72" s="60"/>
      <c r="H72" s="60"/>
      <c r="I72" s="60"/>
      <c r="J72" s="60"/>
      <c r="K72" s="60"/>
    </row>
    <row r="73" spans="1:11" x14ac:dyDescent="0.2">
      <c r="A73" s="60"/>
      <c r="B73" s="60"/>
      <c r="C73" s="60"/>
      <c r="D73" s="60"/>
      <c r="E73" s="60"/>
      <c r="F73" s="60"/>
      <c r="G73" s="60"/>
      <c r="H73" s="60"/>
      <c r="I73" s="60"/>
      <c r="J73" s="60"/>
      <c r="K73" s="60"/>
    </row>
    <row r="74" spans="1:11" x14ac:dyDescent="0.2">
      <c r="A74" s="60"/>
      <c r="B74" s="60"/>
      <c r="C74" s="60"/>
      <c r="D74" s="60"/>
      <c r="E74" s="60"/>
      <c r="F74" s="60"/>
      <c r="G74" s="60"/>
      <c r="H74" s="60"/>
      <c r="I74" s="60"/>
      <c r="J74" s="60"/>
      <c r="K74" s="60"/>
    </row>
    <row r="75" spans="1:11" x14ac:dyDescent="0.2">
      <c r="A75" s="60"/>
      <c r="B75" s="60"/>
      <c r="C75" s="60"/>
      <c r="D75" s="60"/>
      <c r="E75" s="60"/>
      <c r="F75" s="60"/>
      <c r="G75" s="60"/>
      <c r="H75" s="60"/>
      <c r="I75" s="60"/>
      <c r="J75" s="60"/>
      <c r="K75" s="60"/>
    </row>
    <row r="76" spans="1:11" x14ac:dyDescent="0.2">
      <c r="A76" s="60"/>
      <c r="B76" s="60"/>
      <c r="C76" s="60"/>
      <c r="D76" s="60"/>
      <c r="E76" s="60"/>
      <c r="F76" s="60"/>
      <c r="G76" s="60"/>
      <c r="H76" s="60"/>
      <c r="I76" s="60"/>
      <c r="J76" s="60"/>
      <c r="K76" s="60"/>
    </row>
    <row r="77" spans="1:11" x14ac:dyDescent="0.2">
      <c r="A77" s="60"/>
      <c r="B77" s="60"/>
      <c r="C77" s="60"/>
      <c r="D77" s="60"/>
      <c r="E77" s="60"/>
      <c r="F77" s="60"/>
      <c r="G77" s="60"/>
      <c r="H77" s="60"/>
      <c r="I77" s="60"/>
      <c r="J77" s="60"/>
      <c r="K77" s="60"/>
    </row>
    <row r="78" spans="1:11" x14ac:dyDescent="0.2">
      <c r="A78" s="60"/>
      <c r="B78" s="60"/>
      <c r="C78" s="60"/>
      <c r="D78" s="60"/>
      <c r="E78" s="60"/>
      <c r="F78" s="60"/>
      <c r="G78" s="60"/>
      <c r="H78" s="60"/>
      <c r="I78" s="60"/>
      <c r="J78" s="60"/>
      <c r="K78" s="60"/>
    </row>
    <row r="79" spans="1:11" x14ac:dyDescent="0.2">
      <c r="A79" s="60"/>
      <c r="B79" s="60"/>
      <c r="C79" s="60"/>
      <c r="D79" s="60"/>
      <c r="E79" s="60"/>
      <c r="F79" s="60"/>
      <c r="G79" s="60"/>
      <c r="H79" s="60"/>
      <c r="I79" s="60"/>
      <c r="J79" s="60"/>
      <c r="K79" s="60"/>
    </row>
    <row r="80" spans="1:11" x14ac:dyDescent="0.2">
      <c r="A80" s="60"/>
      <c r="B80" s="60"/>
      <c r="C80" s="60"/>
      <c r="D80" s="60"/>
      <c r="E80" s="60"/>
      <c r="F80" s="60"/>
      <c r="G80" s="60"/>
      <c r="H80" s="60"/>
      <c r="I80" s="60"/>
      <c r="J80" s="60"/>
      <c r="K80" s="60"/>
    </row>
    <row r="81" spans="1:11" x14ac:dyDescent="0.2">
      <c r="A81" s="60"/>
      <c r="B81" s="60"/>
      <c r="C81" s="60"/>
      <c r="D81" s="60"/>
      <c r="E81" s="60"/>
      <c r="F81" s="60"/>
      <c r="G81" s="60"/>
      <c r="H81" s="60"/>
      <c r="I81" s="60"/>
      <c r="J81" s="60"/>
      <c r="K81" s="60"/>
    </row>
    <row r="82" spans="1:11" x14ac:dyDescent="0.2">
      <c r="A82" s="60"/>
      <c r="B82" s="60"/>
      <c r="C82" s="60"/>
      <c r="D82" s="60"/>
      <c r="E82" s="60"/>
      <c r="F82" s="60"/>
      <c r="G82" s="60"/>
      <c r="H82" s="60"/>
      <c r="I82" s="60"/>
      <c r="J82" s="60"/>
      <c r="K82" s="60"/>
    </row>
    <row r="83" spans="1:11" x14ac:dyDescent="0.2">
      <c r="A83" s="60"/>
      <c r="B83" s="60"/>
      <c r="C83" s="60"/>
      <c r="D83" s="60"/>
      <c r="E83" s="60"/>
      <c r="F83" s="60"/>
      <c r="G83" s="60"/>
      <c r="H83" s="60"/>
      <c r="I83" s="60"/>
      <c r="J83" s="60"/>
      <c r="K83" s="60"/>
    </row>
    <row r="84" spans="1:11" x14ac:dyDescent="0.2">
      <c r="A84" s="60"/>
      <c r="B84" s="60"/>
      <c r="C84" s="60"/>
      <c r="D84" s="60"/>
      <c r="E84" s="60"/>
      <c r="F84" s="60"/>
      <c r="G84" s="60"/>
      <c r="H84" s="60"/>
      <c r="I84" s="60"/>
      <c r="J84" s="60"/>
      <c r="K84" s="60"/>
    </row>
    <row r="85" spans="1:11" x14ac:dyDescent="0.2">
      <c r="A85" s="60"/>
      <c r="B85" s="60"/>
      <c r="C85" s="60"/>
      <c r="D85" s="60"/>
      <c r="E85" s="60"/>
      <c r="F85" s="60"/>
      <c r="G85" s="60"/>
      <c r="H85" s="60"/>
      <c r="I85" s="60"/>
      <c r="J85" s="60"/>
      <c r="K85" s="60"/>
    </row>
    <row r="86" spans="1:11" x14ac:dyDescent="0.2">
      <c r="A86" s="60"/>
      <c r="B86" s="60"/>
      <c r="C86" s="60"/>
      <c r="D86" s="60"/>
      <c r="E86" s="60"/>
      <c r="F86" s="60"/>
      <c r="G86" s="60"/>
      <c r="H86" s="60"/>
      <c r="I86" s="60"/>
      <c r="J86" s="60"/>
      <c r="K86" s="60"/>
    </row>
    <row r="87" spans="1:11" x14ac:dyDescent="0.2">
      <c r="A87" s="60"/>
      <c r="B87" s="60"/>
      <c r="C87" s="60"/>
      <c r="D87" s="60"/>
      <c r="E87" s="60"/>
      <c r="F87" s="60"/>
      <c r="G87" s="60"/>
      <c r="H87" s="60"/>
      <c r="I87" s="60"/>
      <c r="J87" s="60"/>
      <c r="K87" s="60"/>
    </row>
    <row r="88" spans="1:11" x14ac:dyDescent="0.2">
      <c r="A88" s="60"/>
      <c r="B88" s="60"/>
      <c r="C88" s="60"/>
      <c r="D88" s="60"/>
      <c r="E88" s="60"/>
      <c r="F88" s="60"/>
      <c r="G88" s="60"/>
      <c r="H88" s="60"/>
      <c r="I88" s="60"/>
      <c r="J88" s="60"/>
      <c r="K88" s="60"/>
    </row>
    <row r="89" spans="1:11" x14ac:dyDescent="0.2">
      <c r="A89" s="60"/>
      <c r="B89" s="60"/>
      <c r="C89" s="60"/>
      <c r="D89" s="60"/>
      <c r="E89" s="60"/>
      <c r="F89" s="60"/>
      <c r="G89" s="60"/>
      <c r="H89" s="60"/>
      <c r="I89" s="60"/>
      <c r="J89" s="60"/>
      <c r="K89" s="60"/>
    </row>
    <row r="90" spans="1:11" x14ac:dyDescent="0.2">
      <c r="A90" s="60"/>
      <c r="B90" s="60"/>
      <c r="C90" s="60"/>
      <c r="D90" s="60"/>
      <c r="E90" s="60"/>
      <c r="F90" s="60"/>
      <c r="G90" s="60"/>
      <c r="H90" s="60"/>
      <c r="I90" s="60"/>
      <c r="J90" s="60"/>
      <c r="K90" s="60"/>
    </row>
    <row r="91" spans="1:11" x14ac:dyDescent="0.2">
      <c r="A91" s="60"/>
      <c r="B91" s="60"/>
      <c r="C91" s="60"/>
      <c r="D91" s="60"/>
      <c r="E91" s="60"/>
      <c r="F91" s="60"/>
      <c r="G91" s="60"/>
      <c r="H91" s="60"/>
      <c r="I91" s="60"/>
      <c r="J91" s="60"/>
      <c r="K91" s="60"/>
    </row>
    <row r="92" spans="1:11" x14ac:dyDescent="0.2">
      <c r="A92" s="60"/>
      <c r="B92" s="60"/>
      <c r="C92" s="60"/>
      <c r="D92" s="60"/>
      <c r="E92" s="60"/>
      <c r="F92" s="60"/>
      <c r="G92" s="60"/>
      <c r="H92" s="60"/>
      <c r="I92" s="60"/>
      <c r="J92" s="60"/>
      <c r="K92" s="60"/>
    </row>
    <row r="93" spans="1:11" x14ac:dyDescent="0.2">
      <c r="A93" s="60"/>
      <c r="B93" s="60"/>
      <c r="C93" s="60"/>
      <c r="D93" s="60"/>
      <c r="E93" s="60"/>
      <c r="F93" s="60"/>
      <c r="G93" s="60"/>
      <c r="H93" s="60"/>
      <c r="I93" s="60"/>
      <c r="J93" s="60"/>
      <c r="K93" s="60"/>
    </row>
    <row r="94" spans="1:11" x14ac:dyDescent="0.2">
      <c r="A94" s="60"/>
      <c r="B94" s="60"/>
      <c r="C94" s="60"/>
      <c r="D94" s="60"/>
      <c r="E94" s="60"/>
      <c r="F94" s="60"/>
      <c r="G94" s="60"/>
      <c r="H94" s="60"/>
      <c r="I94" s="60"/>
      <c r="J94" s="60"/>
      <c r="K94" s="60"/>
    </row>
    <row r="95" spans="1:11" x14ac:dyDescent="0.2">
      <c r="A95" s="60"/>
      <c r="B95" s="60"/>
      <c r="C95" s="60"/>
      <c r="D95" s="60"/>
      <c r="E95" s="60"/>
      <c r="F95" s="60"/>
      <c r="G95" s="60"/>
      <c r="H95" s="60"/>
      <c r="I95" s="60"/>
      <c r="J95" s="60"/>
      <c r="K95" s="60"/>
    </row>
    <row r="96" spans="1:11" x14ac:dyDescent="0.2">
      <c r="A96" s="60"/>
      <c r="B96" s="60"/>
      <c r="C96" s="60"/>
      <c r="D96" s="60"/>
      <c r="E96" s="60"/>
      <c r="F96" s="60"/>
      <c r="G96" s="60"/>
      <c r="H96" s="60"/>
      <c r="I96" s="60"/>
      <c r="J96" s="60"/>
      <c r="K96" s="60"/>
    </row>
    <row r="97" spans="1:11" x14ac:dyDescent="0.2">
      <c r="A97" s="60"/>
      <c r="B97" s="60"/>
      <c r="C97" s="60"/>
      <c r="D97" s="60"/>
      <c r="E97" s="60"/>
      <c r="F97" s="60"/>
      <c r="G97" s="60"/>
      <c r="H97" s="60"/>
      <c r="I97" s="60"/>
      <c r="J97" s="60"/>
      <c r="K97" s="60"/>
    </row>
    <row r="98" spans="1:11" x14ac:dyDescent="0.2">
      <c r="A98" s="60"/>
      <c r="B98" s="60"/>
      <c r="C98" s="60"/>
      <c r="D98" s="60"/>
      <c r="E98" s="60"/>
      <c r="F98" s="60"/>
      <c r="G98" s="60"/>
      <c r="H98" s="60"/>
      <c r="I98" s="60"/>
      <c r="J98" s="60"/>
      <c r="K98" s="60"/>
    </row>
    <row r="99" spans="1:11" x14ac:dyDescent="0.2">
      <c r="A99" s="60"/>
      <c r="B99" s="60"/>
      <c r="C99" s="60"/>
      <c r="D99" s="60"/>
      <c r="E99" s="60"/>
      <c r="F99" s="60"/>
      <c r="G99" s="60"/>
      <c r="H99" s="60"/>
      <c r="I99" s="60"/>
      <c r="J99" s="60"/>
      <c r="K99" s="60"/>
    </row>
    <row r="100" spans="1:11" x14ac:dyDescent="0.2">
      <c r="A100" s="60"/>
      <c r="B100" s="60"/>
      <c r="C100" s="60"/>
      <c r="D100" s="60"/>
      <c r="E100" s="60"/>
      <c r="F100" s="60"/>
      <c r="G100" s="60"/>
      <c r="H100" s="60"/>
      <c r="I100" s="60"/>
      <c r="J100" s="60"/>
      <c r="K100" s="60"/>
    </row>
    <row r="101" spans="1:11" x14ac:dyDescent="0.2">
      <c r="A101" s="60"/>
      <c r="B101" s="60"/>
      <c r="C101" s="60"/>
      <c r="D101" s="60"/>
      <c r="E101" s="60"/>
      <c r="F101" s="60"/>
      <c r="G101" s="60"/>
      <c r="H101" s="60"/>
      <c r="I101" s="60"/>
      <c r="J101" s="60"/>
      <c r="K101" s="60"/>
    </row>
    <row r="102" spans="1:11" x14ac:dyDescent="0.2">
      <c r="A102" s="60"/>
      <c r="B102" s="60"/>
      <c r="C102" s="60"/>
      <c r="D102" s="60"/>
      <c r="E102" s="60"/>
      <c r="F102" s="60"/>
      <c r="G102" s="60"/>
      <c r="H102" s="60"/>
      <c r="I102" s="60"/>
      <c r="J102" s="60"/>
      <c r="K102" s="60"/>
    </row>
    <row r="103" spans="1:11" x14ac:dyDescent="0.2">
      <c r="A103" s="60"/>
      <c r="B103" s="60"/>
      <c r="C103" s="60"/>
      <c r="D103" s="60"/>
      <c r="E103" s="60"/>
      <c r="F103" s="60"/>
      <c r="G103" s="60"/>
      <c r="H103" s="60"/>
      <c r="I103" s="60"/>
      <c r="J103" s="60"/>
      <c r="K103" s="60"/>
    </row>
    <row r="104" spans="1:11" x14ac:dyDescent="0.2">
      <c r="A104" s="60"/>
      <c r="B104" s="60"/>
      <c r="C104" s="60"/>
      <c r="D104" s="60"/>
      <c r="E104" s="60"/>
      <c r="F104" s="60"/>
      <c r="G104" s="60"/>
      <c r="H104" s="60"/>
      <c r="I104" s="60"/>
      <c r="J104" s="60"/>
      <c r="K104" s="60"/>
    </row>
    <row r="105" spans="1:11" x14ac:dyDescent="0.2">
      <c r="A105" s="60"/>
      <c r="B105" s="60"/>
      <c r="C105" s="60"/>
      <c r="D105" s="60"/>
      <c r="E105" s="60"/>
      <c r="F105" s="60"/>
      <c r="G105" s="60"/>
      <c r="H105" s="60"/>
      <c r="I105" s="60"/>
      <c r="J105" s="60"/>
      <c r="K105" s="60"/>
    </row>
    <row r="106" spans="1:11" x14ac:dyDescent="0.2">
      <c r="A106" s="60"/>
      <c r="B106" s="60"/>
      <c r="C106" s="60"/>
      <c r="D106" s="60"/>
      <c r="E106" s="60"/>
      <c r="F106" s="60"/>
      <c r="G106" s="60"/>
      <c r="H106" s="60"/>
      <c r="I106" s="60"/>
      <c r="J106" s="60"/>
      <c r="K106" s="60"/>
    </row>
    <row r="107" spans="1:11" x14ac:dyDescent="0.2">
      <c r="A107" s="60"/>
      <c r="B107" s="60"/>
      <c r="C107" s="60"/>
      <c r="D107" s="60"/>
      <c r="E107" s="60"/>
      <c r="F107" s="60"/>
      <c r="G107" s="60"/>
      <c r="H107" s="60"/>
      <c r="I107" s="60"/>
      <c r="J107" s="60"/>
      <c r="K107" s="60"/>
    </row>
    <row r="108" spans="1:11" x14ac:dyDescent="0.2">
      <c r="A108" s="60"/>
      <c r="B108" s="60"/>
      <c r="C108" s="60"/>
      <c r="D108" s="60"/>
      <c r="E108" s="60"/>
      <c r="F108" s="60"/>
      <c r="G108" s="60"/>
      <c r="H108" s="60"/>
      <c r="I108" s="60"/>
      <c r="J108" s="60"/>
      <c r="K108" s="60"/>
    </row>
    <row r="109" spans="1:11" x14ac:dyDescent="0.2">
      <c r="A109" s="60"/>
      <c r="B109" s="60"/>
      <c r="C109" s="60"/>
      <c r="D109" s="60"/>
      <c r="E109" s="60"/>
      <c r="F109" s="60"/>
      <c r="G109" s="60"/>
      <c r="H109" s="60"/>
      <c r="I109" s="60"/>
      <c r="J109" s="60"/>
      <c r="K109" s="60"/>
    </row>
    <row r="110" spans="1:11" x14ac:dyDescent="0.2">
      <c r="A110" s="60"/>
      <c r="B110" s="60"/>
      <c r="C110" s="60"/>
      <c r="D110" s="60"/>
      <c r="E110" s="60"/>
      <c r="F110" s="60"/>
      <c r="G110" s="60"/>
      <c r="H110" s="60"/>
      <c r="I110" s="60"/>
      <c r="J110" s="60"/>
      <c r="K110" s="60"/>
    </row>
    <row r="111" spans="1:11" x14ac:dyDescent="0.2">
      <c r="A111" s="60"/>
      <c r="B111" s="60"/>
      <c r="C111" s="60"/>
      <c r="D111" s="60"/>
      <c r="E111" s="60"/>
      <c r="F111" s="60"/>
      <c r="G111" s="60"/>
      <c r="H111" s="60"/>
      <c r="I111" s="60"/>
      <c r="J111" s="60"/>
      <c r="K111" s="60"/>
    </row>
    <row r="112" spans="1:11" x14ac:dyDescent="0.2">
      <c r="A112" s="60"/>
      <c r="B112" s="60"/>
      <c r="C112" s="60"/>
      <c r="D112" s="60"/>
      <c r="E112" s="60"/>
      <c r="F112" s="60"/>
      <c r="G112" s="60"/>
      <c r="H112" s="60"/>
      <c r="I112" s="60"/>
      <c r="J112" s="60"/>
      <c r="K112" s="60"/>
    </row>
    <row r="113" spans="1:11" x14ac:dyDescent="0.2">
      <c r="A113" s="60"/>
      <c r="B113" s="60"/>
      <c r="C113" s="60"/>
      <c r="D113" s="60"/>
      <c r="E113" s="60"/>
      <c r="F113" s="60"/>
      <c r="G113" s="60"/>
      <c r="H113" s="60"/>
      <c r="I113" s="60"/>
      <c r="J113" s="60"/>
      <c r="K113" s="60"/>
    </row>
    <row r="114" spans="1:11" x14ac:dyDescent="0.2">
      <c r="A114" s="60"/>
      <c r="B114" s="60"/>
      <c r="C114" s="60"/>
      <c r="D114" s="60"/>
      <c r="E114" s="60"/>
      <c r="F114" s="60"/>
      <c r="G114" s="60"/>
      <c r="H114" s="60"/>
      <c r="I114" s="60"/>
      <c r="J114" s="60"/>
      <c r="K114" s="60"/>
    </row>
    <row r="115" spans="1:11" x14ac:dyDescent="0.2">
      <c r="A115" s="60"/>
      <c r="B115" s="60"/>
      <c r="C115" s="60"/>
      <c r="D115" s="60"/>
      <c r="E115" s="60"/>
      <c r="F115" s="60"/>
      <c r="G115" s="60"/>
      <c r="H115" s="60"/>
      <c r="I115" s="60"/>
      <c r="J115" s="60"/>
      <c r="K115" s="60"/>
    </row>
    <row r="116" spans="1:11" x14ac:dyDescent="0.2">
      <c r="A116" s="60"/>
      <c r="B116" s="60"/>
      <c r="C116" s="60"/>
      <c r="D116" s="60"/>
      <c r="E116" s="60"/>
      <c r="F116" s="60"/>
      <c r="G116" s="60"/>
      <c r="H116" s="60"/>
      <c r="I116" s="60"/>
      <c r="J116" s="60"/>
      <c r="K116" s="60"/>
    </row>
    <row r="117" spans="1:11" x14ac:dyDescent="0.2">
      <c r="A117" s="60"/>
      <c r="B117" s="60"/>
      <c r="C117" s="60"/>
      <c r="D117" s="60"/>
      <c r="E117" s="60"/>
      <c r="F117" s="60"/>
      <c r="G117" s="60"/>
      <c r="H117" s="60"/>
      <c r="I117" s="60"/>
      <c r="J117" s="60"/>
      <c r="K117" s="60"/>
    </row>
    <row r="118" spans="1:11" x14ac:dyDescent="0.2">
      <c r="A118" s="60"/>
      <c r="B118" s="60"/>
      <c r="C118" s="60"/>
      <c r="D118" s="60"/>
      <c r="E118" s="60"/>
      <c r="F118" s="60"/>
      <c r="G118" s="60"/>
      <c r="H118" s="60"/>
      <c r="I118" s="60"/>
      <c r="J118" s="60"/>
      <c r="K118" s="60"/>
    </row>
    <row r="119" spans="1:11" x14ac:dyDescent="0.2">
      <c r="A119" s="60"/>
      <c r="B119" s="60"/>
      <c r="C119" s="60"/>
      <c r="D119" s="60"/>
      <c r="E119" s="60"/>
      <c r="F119" s="60"/>
      <c r="G119" s="60"/>
      <c r="H119" s="60"/>
      <c r="I119" s="60"/>
      <c r="J119" s="60"/>
      <c r="K119" s="60"/>
    </row>
    <row r="120" spans="1:11" x14ac:dyDescent="0.2">
      <c r="A120" s="60"/>
      <c r="B120" s="60"/>
      <c r="C120" s="60"/>
      <c r="D120" s="60"/>
      <c r="E120" s="60"/>
      <c r="F120" s="60"/>
      <c r="G120" s="60"/>
      <c r="H120" s="60"/>
      <c r="I120" s="60"/>
      <c r="J120" s="60"/>
      <c r="K120" s="60"/>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2"/>
  <sheetViews>
    <sheetView workbookViewId="0">
      <selection activeCell="F41" sqref="F41"/>
    </sheetView>
  </sheetViews>
  <sheetFormatPr defaultRowHeight="12.75" x14ac:dyDescent="0.2"/>
  <cols>
    <col min="2" max="2" width="2.5703125" customWidth="1"/>
    <col min="3" max="12" width="12.28515625" customWidth="1"/>
    <col min="13" max="13" width="2.28515625" customWidth="1"/>
    <col min="14" max="14" width="14.85546875" bestFit="1" customWidth="1"/>
    <col min="258" max="258" width="2.5703125" customWidth="1"/>
    <col min="259" max="268" width="12.28515625" customWidth="1"/>
    <col min="269" max="269" width="2.28515625" customWidth="1"/>
    <col min="270" max="270" width="14.85546875" bestFit="1" customWidth="1"/>
    <col min="514" max="514" width="2.5703125" customWidth="1"/>
    <col min="515" max="524" width="12.28515625" customWidth="1"/>
    <col min="525" max="525" width="2.28515625" customWidth="1"/>
    <col min="526" max="526" width="14.85546875" bestFit="1" customWidth="1"/>
    <col min="770" max="770" width="2.5703125" customWidth="1"/>
    <col min="771" max="780" width="12.28515625" customWidth="1"/>
    <col min="781" max="781" width="2.28515625" customWidth="1"/>
    <col min="782" max="782" width="14.85546875" bestFit="1" customWidth="1"/>
    <col min="1026" max="1026" width="2.5703125" customWidth="1"/>
    <col min="1027" max="1036" width="12.28515625" customWidth="1"/>
    <col min="1037" max="1037" width="2.28515625" customWidth="1"/>
    <col min="1038" max="1038" width="14.85546875" bestFit="1" customWidth="1"/>
    <col min="1282" max="1282" width="2.5703125" customWidth="1"/>
    <col min="1283" max="1292" width="12.28515625" customWidth="1"/>
    <col min="1293" max="1293" width="2.28515625" customWidth="1"/>
    <col min="1294" max="1294" width="14.85546875" bestFit="1" customWidth="1"/>
    <col min="1538" max="1538" width="2.5703125" customWidth="1"/>
    <col min="1539" max="1548" width="12.28515625" customWidth="1"/>
    <col min="1549" max="1549" width="2.28515625" customWidth="1"/>
    <col min="1550" max="1550" width="14.85546875" bestFit="1" customWidth="1"/>
    <col min="1794" max="1794" width="2.5703125" customWidth="1"/>
    <col min="1795" max="1804" width="12.28515625" customWidth="1"/>
    <col min="1805" max="1805" width="2.28515625" customWidth="1"/>
    <col min="1806" max="1806" width="14.85546875" bestFit="1" customWidth="1"/>
    <col min="2050" max="2050" width="2.5703125" customWidth="1"/>
    <col min="2051" max="2060" width="12.28515625" customWidth="1"/>
    <col min="2061" max="2061" width="2.28515625" customWidth="1"/>
    <col min="2062" max="2062" width="14.85546875" bestFit="1" customWidth="1"/>
    <col min="2306" max="2306" width="2.5703125" customWidth="1"/>
    <col min="2307" max="2316" width="12.28515625" customWidth="1"/>
    <col min="2317" max="2317" width="2.28515625" customWidth="1"/>
    <col min="2318" max="2318" width="14.85546875" bestFit="1" customWidth="1"/>
    <col min="2562" max="2562" width="2.5703125" customWidth="1"/>
    <col min="2563" max="2572" width="12.28515625" customWidth="1"/>
    <col min="2573" max="2573" width="2.28515625" customWidth="1"/>
    <col min="2574" max="2574" width="14.85546875" bestFit="1" customWidth="1"/>
    <col min="2818" max="2818" width="2.5703125" customWidth="1"/>
    <col min="2819" max="2828" width="12.28515625" customWidth="1"/>
    <col min="2829" max="2829" width="2.28515625" customWidth="1"/>
    <col min="2830" max="2830" width="14.85546875" bestFit="1" customWidth="1"/>
    <col min="3074" max="3074" width="2.5703125" customWidth="1"/>
    <col min="3075" max="3084" width="12.28515625" customWidth="1"/>
    <col min="3085" max="3085" width="2.28515625" customWidth="1"/>
    <col min="3086" max="3086" width="14.85546875" bestFit="1" customWidth="1"/>
    <col min="3330" max="3330" width="2.5703125" customWidth="1"/>
    <col min="3331" max="3340" width="12.28515625" customWidth="1"/>
    <col min="3341" max="3341" width="2.28515625" customWidth="1"/>
    <col min="3342" max="3342" width="14.85546875" bestFit="1" customWidth="1"/>
    <col min="3586" max="3586" width="2.5703125" customWidth="1"/>
    <col min="3587" max="3596" width="12.28515625" customWidth="1"/>
    <col min="3597" max="3597" width="2.28515625" customWidth="1"/>
    <col min="3598" max="3598" width="14.85546875" bestFit="1" customWidth="1"/>
    <col min="3842" max="3842" width="2.5703125" customWidth="1"/>
    <col min="3843" max="3852" width="12.28515625" customWidth="1"/>
    <col min="3853" max="3853" width="2.28515625" customWidth="1"/>
    <col min="3854" max="3854" width="14.85546875" bestFit="1" customWidth="1"/>
    <col min="4098" max="4098" width="2.5703125" customWidth="1"/>
    <col min="4099" max="4108" width="12.28515625" customWidth="1"/>
    <col min="4109" max="4109" width="2.28515625" customWidth="1"/>
    <col min="4110" max="4110" width="14.85546875" bestFit="1" customWidth="1"/>
    <col min="4354" max="4354" width="2.5703125" customWidth="1"/>
    <col min="4355" max="4364" width="12.28515625" customWidth="1"/>
    <col min="4365" max="4365" width="2.28515625" customWidth="1"/>
    <col min="4366" max="4366" width="14.85546875" bestFit="1" customWidth="1"/>
    <col min="4610" max="4610" width="2.5703125" customWidth="1"/>
    <col min="4611" max="4620" width="12.28515625" customWidth="1"/>
    <col min="4621" max="4621" width="2.28515625" customWidth="1"/>
    <col min="4622" max="4622" width="14.85546875" bestFit="1" customWidth="1"/>
    <col min="4866" max="4866" width="2.5703125" customWidth="1"/>
    <col min="4867" max="4876" width="12.28515625" customWidth="1"/>
    <col min="4877" max="4877" width="2.28515625" customWidth="1"/>
    <col min="4878" max="4878" width="14.85546875" bestFit="1" customWidth="1"/>
    <col min="5122" max="5122" width="2.5703125" customWidth="1"/>
    <col min="5123" max="5132" width="12.28515625" customWidth="1"/>
    <col min="5133" max="5133" width="2.28515625" customWidth="1"/>
    <col min="5134" max="5134" width="14.85546875" bestFit="1" customWidth="1"/>
    <col min="5378" max="5378" width="2.5703125" customWidth="1"/>
    <col min="5379" max="5388" width="12.28515625" customWidth="1"/>
    <col min="5389" max="5389" width="2.28515625" customWidth="1"/>
    <col min="5390" max="5390" width="14.85546875" bestFit="1" customWidth="1"/>
    <col min="5634" max="5634" width="2.5703125" customWidth="1"/>
    <col min="5635" max="5644" width="12.28515625" customWidth="1"/>
    <col min="5645" max="5645" width="2.28515625" customWidth="1"/>
    <col min="5646" max="5646" width="14.85546875" bestFit="1" customWidth="1"/>
    <col min="5890" max="5890" width="2.5703125" customWidth="1"/>
    <col min="5891" max="5900" width="12.28515625" customWidth="1"/>
    <col min="5901" max="5901" width="2.28515625" customWidth="1"/>
    <col min="5902" max="5902" width="14.85546875" bestFit="1" customWidth="1"/>
    <col min="6146" max="6146" width="2.5703125" customWidth="1"/>
    <col min="6147" max="6156" width="12.28515625" customWidth="1"/>
    <col min="6157" max="6157" width="2.28515625" customWidth="1"/>
    <col min="6158" max="6158" width="14.85546875" bestFit="1" customWidth="1"/>
    <col min="6402" max="6402" width="2.5703125" customWidth="1"/>
    <col min="6403" max="6412" width="12.28515625" customWidth="1"/>
    <col min="6413" max="6413" width="2.28515625" customWidth="1"/>
    <col min="6414" max="6414" width="14.85546875" bestFit="1" customWidth="1"/>
    <col min="6658" max="6658" width="2.5703125" customWidth="1"/>
    <col min="6659" max="6668" width="12.28515625" customWidth="1"/>
    <col min="6669" max="6669" width="2.28515625" customWidth="1"/>
    <col min="6670" max="6670" width="14.85546875" bestFit="1" customWidth="1"/>
    <col min="6914" max="6914" width="2.5703125" customWidth="1"/>
    <col min="6915" max="6924" width="12.28515625" customWidth="1"/>
    <col min="6925" max="6925" width="2.28515625" customWidth="1"/>
    <col min="6926" max="6926" width="14.85546875" bestFit="1" customWidth="1"/>
    <col min="7170" max="7170" width="2.5703125" customWidth="1"/>
    <col min="7171" max="7180" width="12.28515625" customWidth="1"/>
    <col min="7181" max="7181" width="2.28515625" customWidth="1"/>
    <col min="7182" max="7182" width="14.85546875" bestFit="1" customWidth="1"/>
    <col min="7426" max="7426" width="2.5703125" customWidth="1"/>
    <col min="7427" max="7436" width="12.28515625" customWidth="1"/>
    <col min="7437" max="7437" width="2.28515625" customWidth="1"/>
    <col min="7438" max="7438" width="14.85546875" bestFit="1" customWidth="1"/>
    <col min="7682" max="7682" width="2.5703125" customWidth="1"/>
    <col min="7683" max="7692" width="12.28515625" customWidth="1"/>
    <col min="7693" max="7693" width="2.28515625" customWidth="1"/>
    <col min="7694" max="7694" width="14.85546875" bestFit="1" customWidth="1"/>
    <col min="7938" max="7938" width="2.5703125" customWidth="1"/>
    <col min="7939" max="7948" width="12.28515625" customWidth="1"/>
    <col min="7949" max="7949" width="2.28515625" customWidth="1"/>
    <col min="7950" max="7950" width="14.85546875" bestFit="1" customWidth="1"/>
    <col min="8194" max="8194" width="2.5703125" customWidth="1"/>
    <col min="8195" max="8204" width="12.28515625" customWidth="1"/>
    <col min="8205" max="8205" width="2.28515625" customWidth="1"/>
    <col min="8206" max="8206" width="14.85546875" bestFit="1" customWidth="1"/>
    <col min="8450" max="8450" width="2.5703125" customWidth="1"/>
    <col min="8451" max="8460" width="12.28515625" customWidth="1"/>
    <col min="8461" max="8461" width="2.28515625" customWidth="1"/>
    <col min="8462" max="8462" width="14.85546875" bestFit="1" customWidth="1"/>
    <col min="8706" max="8706" width="2.5703125" customWidth="1"/>
    <col min="8707" max="8716" width="12.28515625" customWidth="1"/>
    <col min="8717" max="8717" width="2.28515625" customWidth="1"/>
    <col min="8718" max="8718" width="14.85546875" bestFit="1" customWidth="1"/>
    <col min="8962" max="8962" width="2.5703125" customWidth="1"/>
    <col min="8963" max="8972" width="12.28515625" customWidth="1"/>
    <col min="8973" max="8973" width="2.28515625" customWidth="1"/>
    <col min="8974" max="8974" width="14.85546875" bestFit="1" customWidth="1"/>
    <col min="9218" max="9218" width="2.5703125" customWidth="1"/>
    <col min="9219" max="9228" width="12.28515625" customWidth="1"/>
    <col min="9229" max="9229" width="2.28515625" customWidth="1"/>
    <col min="9230" max="9230" width="14.85546875" bestFit="1" customWidth="1"/>
    <col min="9474" max="9474" width="2.5703125" customWidth="1"/>
    <col min="9475" max="9484" width="12.28515625" customWidth="1"/>
    <col min="9485" max="9485" width="2.28515625" customWidth="1"/>
    <col min="9486" max="9486" width="14.85546875" bestFit="1" customWidth="1"/>
    <col min="9730" max="9730" width="2.5703125" customWidth="1"/>
    <col min="9731" max="9740" width="12.28515625" customWidth="1"/>
    <col min="9741" max="9741" width="2.28515625" customWidth="1"/>
    <col min="9742" max="9742" width="14.85546875" bestFit="1" customWidth="1"/>
    <col min="9986" max="9986" width="2.5703125" customWidth="1"/>
    <col min="9987" max="9996" width="12.28515625" customWidth="1"/>
    <col min="9997" max="9997" width="2.28515625" customWidth="1"/>
    <col min="9998" max="9998" width="14.85546875" bestFit="1" customWidth="1"/>
    <col min="10242" max="10242" width="2.5703125" customWidth="1"/>
    <col min="10243" max="10252" width="12.28515625" customWidth="1"/>
    <col min="10253" max="10253" width="2.28515625" customWidth="1"/>
    <col min="10254" max="10254" width="14.85546875" bestFit="1" customWidth="1"/>
    <col min="10498" max="10498" width="2.5703125" customWidth="1"/>
    <col min="10499" max="10508" width="12.28515625" customWidth="1"/>
    <col min="10509" max="10509" width="2.28515625" customWidth="1"/>
    <col min="10510" max="10510" width="14.85546875" bestFit="1" customWidth="1"/>
    <col min="10754" max="10754" width="2.5703125" customWidth="1"/>
    <col min="10755" max="10764" width="12.28515625" customWidth="1"/>
    <col min="10765" max="10765" width="2.28515625" customWidth="1"/>
    <col min="10766" max="10766" width="14.85546875" bestFit="1" customWidth="1"/>
    <col min="11010" max="11010" width="2.5703125" customWidth="1"/>
    <col min="11011" max="11020" width="12.28515625" customWidth="1"/>
    <col min="11021" max="11021" width="2.28515625" customWidth="1"/>
    <col min="11022" max="11022" width="14.85546875" bestFit="1" customWidth="1"/>
    <col min="11266" max="11266" width="2.5703125" customWidth="1"/>
    <col min="11267" max="11276" width="12.28515625" customWidth="1"/>
    <col min="11277" max="11277" width="2.28515625" customWidth="1"/>
    <col min="11278" max="11278" width="14.85546875" bestFit="1" customWidth="1"/>
    <col min="11522" max="11522" width="2.5703125" customWidth="1"/>
    <col min="11523" max="11532" width="12.28515625" customWidth="1"/>
    <col min="11533" max="11533" width="2.28515625" customWidth="1"/>
    <col min="11534" max="11534" width="14.85546875" bestFit="1" customWidth="1"/>
    <col min="11778" max="11778" width="2.5703125" customWidth="1"/>
    <col min="11779" max="11788" width="12.28515625" customWidth="1"/>
    <col min="11789" max="11789" width="2.28515625" customWidth="1"/>
    <col min="11790" max="11790" width="14.85546875" bestFit="1" customWidth="1"/>
    <col min="12034" max="12034" width="2.5703125" customWidth="1"/>
    <col min="12035" max="12044" width="12.28515625" customWidth="1"/>
    <col min="12045" max="12045" width="2.28515625" customWidth="1"/>
    <col min="12046" max="12046" width="14.85546875" bestFit="1" customWidth="1"/>
    <col min="12290" max="12290" width="2.5703125" customWidth="1"/>
    <col min="12291" max="12300" width="12.28515625" customWidth="1"/>
    <col min="12301" max="12301" width="2.28515625" customWidth="1"/>
    <col min="12302" max="12302" width="14.85546875" bestFit="1" customWidth="1"/>
    <col min="12546" max="12546" width="2.5703125" customWidth="1"/>
    <col min="12547" max="12556" width="12.28515625" customWidth="1"/>
    <col min="12557" max="12557" width="2.28515625" customWidth="1"/>
    <col min="12558" max="12558" width="14.85546875" bestFit="1" customWidth="1"/>
    <col min="12802" max="12802" width="2.5703125" customWidth="1"/>
    <col min="12803" max="12812" width="12.28515625" customWidth="1"/>
    <col min="12813" max="12813" width="2.28515625" customWidth="1"/>
    <col min="12814" max="12814" width="14.85546875" bestFit="1" customWidth="1"/>
    <col min="13058" max="13058" width="2.5703125" customWidth="1"/>
    <col min="13059" max="13068" width="12.28515625" customWidth="1"/>
    <col min="13069" max="13069" width="2.28515625" customWidth="1"/>
    <col min="13070" max="13070" width="14.85546875" bestFit="1" customWidth="1"/>
    <col min="13314" max="13314" width="2.5703125" customWidth="1"/>
    <col min="13315" max="13324" width="12.28515625" customWidth="1"/>
    <col min="13325" max="13325" width="2.28515625" customWidth="1"/>
    <col min="13326" max="13326" width="14.85546875" bestFit="1" customWidth="1"/>
    <col min="13570" max="13570" width="2.5703125" customWidth="1"/>
    <col min="13571" max="13580" width="12.28515625" customWidth="1"/>
    <col min="13581" max="13581" width="2.28515625" customWidth="1"/>
    <col min="13582" max="13582" width="14.85546875" bestFit="1" customWidth="1"/>
    <col min="13826" max="13826" width="2.5703125" customWidth="1"/>
    <col min="13827" max="13836" width="12.28515625" customWidth="1"/>
    <col min="13837" max="13837" width="2.28515625" customWidth="1"/>
    <col min="13838" max="13838" width="14.85546875" bestFit="1" customWidth="1"/>
    <col min="14082" max="14082" width="2.5703125" customWidth="1"/>
    <col min="14083" max="14092" width="12.28515625" customWidth="1"/>
    <col min="14093" max="14093" width="2.28515625" customWidth="1"/>
    <col min="14094" max="14094" width="14.85546875" bestFit="1" customWidth="1"/>
    <col min="14338" max="14338" width="2.5703125" customWidth="1"/>
    <col min="14339" max="14348" width="12.28515625" customWidth="1"/>
    <col min="14349" max="14349" width="2.28515625" customWidth="1"/>
    <col min="14350" max="14350" width="14.85546875" bestFit="1" customWidth="1"/>
    <col min="14594" max="14594" width="2.5703125" customWidth="1"/>
    <col min="14595" max="14604" width="12.28515625" customWidth="1"/>
    <col min="14605" max="14605" width="2.28515625" customWidth="1"/>
    <col min="14606" max="14606" width="14.85546875" bestFit="1" customWidth="1"/>
    <col min="14850" max="14850" width="2.5703125" customWidth="1"/>
    <col min="14851" max="14860" width="12.28515625" customWidth="1"/>
    <col min="14861" max="14861" width="2.28515625" customWidth="1"/>
    <col min="14862" max="14862" width="14.85546875" bestFit="1" customWidth="1"/>
    <col min="15106" max="15106" width="2.5703125" customWidth="1"/>
    <col min="15107" max="15116" width="12.28515625" customWidth="1"/>
    <col min="15117" max="15117" width="2.28515625" customWidth="1"/>
    <col min="15118" max="15118" width="14.85546875" bestFit="1" customWidth="1"/>
    <col min="15362" max="15362" width="2.5703125" customWidth="1"/>
    <col min="15363" max="15372" width="12.28515625" customWidth="1"/>
    <col min="15373" max="15373" width="2.28515625" customWidth="1"/>
    <col min="15374" max="15374" width="14.85546875" bestFit="1" customWidth="1"/>
    <col min="15618" max="15618" width="2.5703125" customWidth="1"/>
    <col min="15619" max="15628" width="12.28515625" customWidth="1"/>
    <col min="15629" max="15629" width="2.28515625" customWidth="1"/>
    <col min="15630" max="15630" width="14.85546875" bestFit="1" customWidth="1"/>
    <col min="15874" max="15874" width="2.5703125" customWidth="1"/>
    <col min="15875" max="15884" width="12.28515625" customWidth="1"/>
    <col min="15885" max="15885" width="2.28515625" customWidth="1"/>
    <col min="15886" max="15886" width="14.85546875" bestFit="1" customWidth="1"/>
    <col min="16130" max="16130" width="2.5703125" customWidth="1"/>
    <col min="16131" max="16140" width="12.28515625" customWidth="1"/>
    <col min="16141" max="16141" width="2.28515625" customWidth="1"/>
    <col min="16142" max="16142" width="14.85546875" bestFit="1" customWidth="1"/>
  </cols>
  <sheetData>
    <row r="1" spans="1:16" x14ac:dyDescent="0.2">
      <c r="A1" s="52" t="str">
        <f>"Residential Tonnages by Commodity:  "&amp;TEXT(A7,"mmmm")&amp;" - "&amp;TEXT(A12,"mmmm")</f>
        <v>Residential Tonnages by Commodity:  May - October</v>
      </c>
      <c r="B1" s="53"/>
    </row>
    <row r="2" spans="1:16" x14ac:dyDescent="0.2">
      <c r="A2" s="54" t="str">
        <f>[12]Value!A2</f>
        <v>Kent-Meridian Disposal</v>
      </c>
      <c r="B2" s="54"/>
    </row>
    <row r="3" spans="1:16" x14ac:dyDescent="0.2">
      <c r="A3" s="54"/>
      <c r="B3" s="54"/>
    </row>
    <row r="4" spans="1:16" x14ac:dyDescent="0.2">
      <c r="A4" s="53"/>
      <c r="B4" s="55"/>
      <c r="C4" s="56" t="s">
        <v>21</v>
      </c>
      <c r="D4" s="56" t="s">
        <v>22</v>
      </c>
      <c r="E4" s="56" t="s">
        <v>55</v>
      </c>
      <c r="F4" s="56" t="s">
        <v>23</v>
      </c>
      <c r="G4" s="56" t="s">
        <v>24</v>
      </c>
      <c r="H4" s="56" t="s">
        <v>25</v>
      </c>
      <c r="I4" s="56" t="s">
        <v>26</v>
      </c>
      <c r="J4" s="56" t="s">
        <v>27</v>
      </c>
      <c r="K4" s="56" t="s">
        <v>28</v>
      </c>
      <c r="L4" s="56" t="s">
        <v>29</v>
      </c>
      <c r="M4" s="56"/>
      <c r="N4" s="56" t="s">
        <v>30</v>
      </c>
    </row>
    <row r="5" spans="1:16" s="58" customFormat="1" x14ac:dyDescent="0.2">
      <c r="A5" s="57"/>
      <c r="B5" s="57"/>
      <c r="C5" s="107">
        <v>55</v>
      </c>
      <c r="D5" s="108">
        <v>57</v>
      </c>
      <c r="E5" s="108">
        <v>58</v>
      </c>
      <c r="F5" s="107">
        <v>53</v>
      </c>
      <c r="G5" s="107">
        <v>50</v>
      </c>
      <c r="H5" s="107">
        <v>60</v>
      </c>
      <c r="I5" s="107">
        <v>54</v>
      </c>
      <c r="J5" s="107">
        <v>54</v>
      </c>
      <c r="K5" s="107">
        <v>51</v>
      </c>
      <c r="L5" s="107">
        <v>59</v>
      </c>
    </row>
    <row r="6" spans="1:16" x14ac:dyDescent="0.2">
      <c r="A6" s="59"/>
      <c r="B6" s="60"/>
      <c r="C6" s="61"/>
      <c r="D6" s="61"/>
      <c r="E6" s="61"/>
      <c r="F6" s="61"/>
      <c r="G6" s="61"/>
      <c r="H6" s="61"/>
      <c r="I6" s="61"/>
      <c r="J6" s="61"/>
      <c r="L6" s="60"/>
      <c r="M6" s="60"/>
      <c r="N6" s="61" t="s">
        <v>31</v>
      </c>
    </row>
    <row r="7" spans="1:16" x14ac:dyDescent="0.2">
      <c r="A7" s="59">
        <f>'[12]Single Family'!C6</f>
        <v>43221</v>
      </c>
      <c r="B7" s="60"/>
      <c r="C7" s="65">
        <f>HLOOKUP($A7,'[12]Single Family'!$C$6:$N$79,C$5,FALSE)</f>
        <v>4.6736999999999993</v>
      </c>
      <c r="D7" s="69">
        <f>HLOOKUP($A7,'[12]Single Family'!$C$6:$N$79,D$5,FALSE)</f>
        <v>110.174688</v>
      </c>
      <c r="E7" s="69">
        <f>HLOOKUP($A7,'[12]Single Family'!$C$6:$N$79,E$5,FALSE)</f>
        <v>0</v>
      </c>
      <c r="F7" s="65">
        <f>HLOOKUP($A7,'[12]Single Family'!$C$6:$N$79,F$5,FALSE)</f>
        <v>10.28214</v>
      </c>
      <c r="G7" s="65">
        <f>HLOOKUP($A7,'[12]Single Family'!$C$6:$N$79,G$5,FALSE)</f>
        <v>0</v>
      </c>
      <c r="H7" s="65">
        <f>HLOOKUP($A7,'[12]Single Family'!$C$6:$N$79,H$5,FALSE)</f>
        <v>322.04908799999993</v>
      </c>
      <c r="I7" s="65">
        <f>HLOOKUP($A7,'[12]Single Family'!$C$6:$N$79,I$5,FALSE)/2</f>
        <v>13.989941999999999</v>
      </c>
      <c r="J7" s="65">
        <f>HLOOKUP($A7,'[12]Single Family'!$C$6:$N$79,J$5,FALSE)/2</f>
        <v>13.989941999999999</v>
      </c>
      <c r="K7" s="65">
        <f>HLOOKUP($A7,'[12]Single Family'!$C$6:$N$79,K$5,FALSE)</f>
        <v>111.047112</v>
      </c>
      <c r="L7" s="69">
        <f>HLOOKUP($A7,'[12]Single Family'!$C$6:$N$79,L$5,FALSE)</f>
        <v>36.953388000000082</v>
      </c>
      <c r="M7" s="70"/>
      <c r="N7" s="70">
        <f t="shared" ref="N7:N18" si="0">SUM(C7:L7)</f>
        <v>623.16</v>
      </c>
      <c r="P7" s="62"/>
    </row>
    <row r="8" spans="1:16" x14ac:dyDescent="0.2">
      <c r="A8" s="59">
        <f t="shared" ref="A8:A18" si="1">EOMONTH(A7,1)</f>
        <v>43281</v>
      </c>
      <c r="B8" s="60"/>
      <c r="C8" s="65">
        <f>HLOOKUP($A8,'[12]Single Family'!$C$6:$N$79,C$5,FALSE)</f>
        <v>4.6546500000000002</v>
      </c>
      <c r="D8" s="69">
        <f>HLOOKUP($A8,'[12]Single Family'!$C$6:$N$79,D$5,FALSE)</f>
        <v>109.725616</v>
      </c>
      <c r="E8" s="69">
        <f>HLOOKUP($A8,'[12]Single Family'!$C$6:$N$79,E$5,FALSE)</f>
        <v>0</v>
      </c>
      <c r="F8" s="65">
        <f>HLOOKUP($A8,'[12]Single Family'!$C$6:$N$79,F$5,FALSE)</f>
        <v>10.24023</v>
      </c>
      <c r="G8" s="65">
        <f>HLOOKUP($A8,'[12]Single Family'!$C$6:$N$79,G$5,FALSE)</f>
        <v>0</v>
      </c>
      <c r="H8" s="65">
        <f>HLOOKUP($A8,'[12]Single Family'!$C$6:$N$79,H$5,FALSE)</f>
        <v>320.73641599999991</v>
      </c>
      <c r="I8" s="65">
        <f>HLOOKUP($A8,'[12]Single Family'!$C$6:$N$79,I$5,FALSE)/2</f>
        <v>13.932919</v>
      </c>
      <c r="J8" s="65">
        <f>HLOOKUP($A8,'[12]Single Family'!$C$6:$N$79,J$5,FALSE)/2</f>
        <v>13.932919</v>
      </c>
      <c r="K8" s="65">
        <f>HLOOKUP($A8,'[12]Single Family'!$C$6:$N$79,K$5,FALSE)</f>
        <v>110.59448399999999</v>
      </c>
      <c r="L8" s="69">
        <f>HLOOKUP($A8,'[12]Single Family'!$C$6:$N$79,L$5,FALSE)</f>
        <v>36.802766000000084</v>
      </c>
      <c r="M8" s="70"/>
      <c r="N8" s="70">
        <f t="shared" si="0"/>
        <v>620.62000000000012</v>
      </c>
      <c r="P8" s="62"/>
    </row>
    <row r="9" spans="1:16" x14ac:dyDescent="0.2">
      <c r="A9" s="59">
        <f t="shared" si="1"/>
        <v>43312</v>
      </c>
      <c r="B9" s="60"/>
      <c r="C9" s="65">
        <f>HLOOKUP($A9,'[12]Single Family'!$C$6:$N$79,C$5,FALSE)</f>
        <v>4.8646500000000001</v>
      </c>
      <c r="D9" s="69">
        <f>HLOOKUP($A9,'[12]Single Family'!$C$6:$N$79,D$5,FALSE)</f>
        <v>114.676016</v>
      </c>
      <c r="E9" s="69">
        <f>HLOOKUP($A9,'[12]Single Family'!$C$6:$N$79,E$5,FALSE)</f>
        <v>0</v>
      </c>
      <c r="F9" s="65">
        <f>HLOOKUP($A9,'[12]Single Family'!$C$6:$N$79,F$5,FALSE)</f>
        <v>10.70223</v>
      </c>
      <c r="G9" s="65">
        <f>HLOOKUP($A9,'[12]Single Family'!$C$6:$N$79,G$5,FALSE)</f>
        <v>0</v>
      </c>
      <c r="H9" s="65">
        <f>HLOOKUP($A9,'[12]Single Family'!$C$6:$N$79,H$5,FALSE)</f>
        <v>335.20681599999989</v>
      </c>
      <c r="I9" s="65">
        <f>HLOOKUP($A9,'[12]Single Family'!$C$6:$N$79,I$5,FALSE)/2</f>
        <v>14.561519000000001</v>
      </c>
      <c r="J9" s="65">
        <f>HLOOKUP($A9,'[12]Single Family'!$C$6:$N$79,J$5,FALSE)/2</f>
        <v>14.561519000000001</v>
      </c>
      <c r="K9" s="65">
        <f>HLOOKUP($A9,'[12]Single Family'!$C$6:$N$79,K$5,FALSE)</f>
        <v>115.584084</v>
      </c>
      <c r="L9" s="69">
        <f>HLOOKUP($A9,'[12]Single Family'!$C$6:$N$79,L$5,FALSE)</f>
        <v>38.463166000000086</v>
      </c>
      <c r="M9" s="70"/>
      <c r="N9" s="70">
        <f t="shared" si="0"/>
        <v>648.61999999999989</v>
      </c>
      <c r="P9" s="62"/>
    </row>
    <row r="10" spans="1:16" x14ac:dyDescent="0.2">
      <c r="A10" s="59">
        <f t="shared" si="1"/>
        <v>43343</v>
      </c>
      <c r="B10" s="60"/>
      <c r="C10" s="65">
        <f>HLOOKUP($A10,'[12]Single Family'!$C$6:$N$79,C$5,FALSE)</f>
        <v>5.0623500000000003</v>
      </c>
      <c r="D10" s="69">
        <f>HLOOKUP($A10,'[12]Single Family'!$C$6:$N$79,D$5,FALSE)</f>
        <v>119.33646400000001</v>
      </c>
      <c r="E10" s="69">
        <f>HLOOKUP($A10,'[12]Single Family'!$C$6:$N$79,E$5,FALSE)</f>
        <v>0</v>
      </c>
      <c r="F10" s="65">
        <f>HLOOKUP($A10,'[12]Single Family'!$C$6:$N$79,F$5,FALSE)</f>
        <v>11.137170000000001</v>
      </c>
      <c r="G10" s="65">
        <f>HLOOKUP($A10,'[12]Single Family'!$C$6:$N$79,G$5,FALSE)</f>
        <v>0</v>
      </c>
      <c r="H10" s="65">
        <f>HLOOKUP($A10,'[12]Single Family'!$C$6:$N$79,H$5,FALSE)</f>
        <v>348.82966399999992</v>
      </c>
      <c r="I10" s="65">
        <f>HLOOKUP($A10,'[12]Single Family'!$C$6:$N$79,I$5,FALSE)/2</f>
        <v>15.153301000000001</v>
      </c>
      <c r="J10" s="65">
        <f>HLOOKUP($A10,'[12]Single Family'!$C$6:$N$79,J$5,FALSE)/2</f>
        <v>15.153301000000001</v>
      </c>
      <c r="K10" s="65">
        <f>HLOOKUP($A10,'[12]Single Family'!$C$6:$N$79,K$5,FALSE)</f>
        <v>120.281436</v>
      </c>
      <c r="L10" s="69">
        <f>HLOOKUP($A10,'[12]Single Family'!$C$6:$N$79,L$5,FALSE)</f>
        <v>40.026314000000092</v>
      </c>
      <c r="M10" s="70"/>
      <c r="N10" s="70">
        <f t="shared" si="0"/>
        <v>674.98</v>
      </c>
      <c r="P10" s="62"/>
    </row>
    <row r="11" spans="1:16" x14ac:dyDescent="0.2">
      <c r="A11" s="59">
        <f t="shared" si="1"/>
        <v>43373</v>
      </c>
      <c r="B11" s="60"/>
      <c r="C11" s="65">
        <f>HLOOKUP($A11,'[12]Single Family'!$C$6:$N$79,C$5,FALSE)</f>
        <v>4.1264250000000002</v>
      </c>
      <c r="D11" s="69">
        <f>HLOOKUP($A11,'[12]Single Family'!$C$6:$N$79,D$5,FALSE)</f>
        <v>97.273592000000022</v>
      </c>
      <c r="E11" s="69">
        <f>HLOOKUP($A11,'[12]Single Family'!$C$6:$N$79,E$5,FALSE)</f>
        <v>0</v>
      </c>
      <c r="F11" s="65">
        <f>HLOOKUP($A11,'[12]Single Family'!$C$6:$N$79,F$5,FALSE)</f>
        <v>9.0781350000000014</v>
      </c>
      <c r="G11" s="65">
        <f>HLOOKUP($A11,'[12]Single Family'!$C$6:$N$79,G$5,FALSE)</f>
        <v>0</v>
      </c>
      <c r="H11" s="65">
        <f>HLOOKUP($A11,'[12]Single Family'!$C$6:$N$79,H$5,FALSE)</f>
        <v>284.33819199999988</v>
      </c>
      <c r="I11" s="65">
        <f>HLOOKUP($A11,'[12]Single Family'!$C$6:$N$79,I$5,FALSE)/2</f>
        <v>12.351765500000003</v>
      </c>
      <c r="J11" s="65">
        <f>HLOOKUP($A11,'[12]Single Family'!$C$6:$N$79,J$5,FALSE)/2</f>
        <v>12.351765500000003</v>
      </c>
      <c r="K11" s="65">
        <f>HLOOKUP($A11,'[12]Single Family'!$C$6:$N$79,K$5,FALSE)</f>
        <v>98.043858000000014</v>
      </c>
      <c r="L11" s="69">
        <f>HLOOKUP($A11,'[12]Single Family'!$C$6:$N$79,L$5,FALSE)</f>
        <v>32.626267000000077</v>
      </c>
      <c r="M11" s="70"/>
      <c r="N11" s="70">
        <f t="shared" si="0"/>
        <v>550.19000000000005</v>
      </c>
      <c r="P11" s="62"/>
    </row>
    <row r="12" spans="1:16" x14ac:dyDescent="0.2">
      <c r="A12" s="59">
        <f t="shared" si="1"/>
        <v>43404</v>
      </c>
      <c r="B12" s="60"/>
      <c r="C12" s="65">
        <f>HLOOKUP($A12,'[12]Single Family'!$C$6:$N$79,C$5,FALSE)</f>
        <v>4.9281750000000004</v>
      </c>
      <c r="D12" s="69">
        <f>HLOOKUP($A12,'[12]Single Family'!$C$6:$N$79,D$5,FALSE)</f>
        <v>116.17351200000002</v>
      </c>
      <c r="E12" s="69">
        <f>HLOOKUP($A12,'[12]Single Family'!$C$6:$N$79,E$5,FALSE)</f>
        <v>0</v>
      </c>
      <c r="F12" s="65">
        <f>HLOOKUP($A12,'[12]Single Family'!$C$6:$N$79,F$5,FALSE)</f>
        <v>10.841985000000001</v>
      </c>
      <c r="G12" s="65">
        <f>HLOOKUP($A12,'[12]Single Family'!$C$6:$N$79,G$5,FALSE)</f>
        <v>0</v>
      </c>
      <c r="H12" s="65">
        <f>HLOOKUP($A12,'[12]Single Family'!$C$6:$N$79,H$5,FALSE)</f>
        <v>339.58411199999989</v>
      </c>
      <c r="I12" s="65">
        <f>HLOOKUP($A12,'[12]Single Family'!$C$6:$N$79,I$5,FALSE)/2</f>
        <v>14.751670500000001</v>
      </c>
      <c r="J12" s="65">
        <f>HLOOKUP($A12,'[12]Single Family'!$C$6:$N$79,J$5,FALSE)/2</f>
        <v>14.751670500000001</v>
      </c>
      <c r="K12" s="65">
        <f>HLOOKUP($A12,'[12]Single Family'!$C$6:$N$79,K$5,FALSE)</f>
        <v>117.09343800000001</v>
      </c>
      <c r="L12" s="69">
        <f>HLOOKUP($A12,'[12]Single Family'!$C$6:$N$79,L$5,FALSE)</f>
        <v>38.965437000000087</v>
      </c>
      <c r="M12" s="70"/>
      <c r="N12" s="70">
        <f t="shared" si="0"/>
        <v>657.08999999999992</v>
      </c>
      <c r="P12" s="62"/>
    </row>
    <row r="13" spans="1:16" x14ac:dyDescent="0.2">
      <c r="A13" s="59">
        <f t="shared" si="1"/>
        <v>43434</v>
      </c>
      <c r="B13" s="60"/>
      <c r="C13" s="65">
        <f>HLOOKUP($A13,'[12]Single Family'!$C$6:$N$79,C$5,FALSE)</f>
        <v>0</v>
      </c>
      <c r="D13" s="69">
        <f>HLOOKUP($A13,'[12]Single Family'!$C$6:$N$79,D$5,FALSE)</f>
        <v>0</v>
      </c>
      <c r="E13" s="69">
        <f>HLOOKUP($A13,'[12]Single Family'!$C$6:$N$79,E$5,FALSE)</f>
        <v>0</v>
      </c>
      <c r="F13" s="65">
        <f>HLOOKUP($A13,'[12]Single Family'!$C$6:$N$79,F$5,FALSE)</f>
        <v>0</v>
      </c>
      <c r="G13" s="65">
        <f>HLOOKUP($A13,'[12]Single Family'!$C$6:$N$79,G$5,FALSE)</f>
        <v>0</v>
      </c>
      <c r="H13" s="65">
        <f>HLOOKUP($A13,'[12]Single Family'!$C$6:$N$79,H$5,FALSE)</f>
        <v>0</v>
      </c>
      <c r="I13" s="65">
        <f>HLOOKUP($A13,'[12]Single Family'!$C$6:$N$79,I$5,FALSE)/2</f>
        <v>0</v>
      </c>
      <c r="J13" s="65">
        <f>HLOOKUP($A13,'[12]Single Family'!$C$6:$N$79,J$5,FALSE)/2</f>
        <v>0</v>
      </c>
      <c r="K13" s="65">
        <f>HLOOKUP($A13,'[12]Single Family'!$C$6:$N$79,K$5,FALSE)</f>
        <v>0</v>
      </c>
      <c r="L13" s="69">
        <f>HLOOKUP($A13,'[12]Single Family'!$C$6:$N$79,L$5,FALSE)</f>
        <v>0</v>
      </c>
      <c r="M13" s="70"/>
      <c r="N13" s="70">
        <f t="shared" si="0"/>
        <v>0</v>
      </c>
      <c r="P13" s="62"/>
    </row>
    <row r="14" spans="1:16" x14ac:dyDescent="0.2">
      <c r="A14" s="59">
        <f t="shared" si="1"/>
        <v>43465</v>
      </c>
      <c r="B14" s="60"/>
      <c r="C14" s="65">
        <f>HLOOKUP($A14,'[12]Single Family'!$C$6:$N$79,C$5,FALSE)</f>
        <v>0</v>
      </c>
      <c r="D14" s="69">
        <f>HLOOKUP($A14,'[12]Single Family'!$C$6:$N$79,D$5,FALSE)</f>
        <v>0</v>
      </c>
      <c r="E14" s="69">
        <f>HLOOKUP($A14,'[12]Single Family'!$C$6:$N$79,E$5,FALSE)</f>
        <v>0</v>
      </c>
      <c r="F14" s="65">
        <f>HLOOKUP($A14,'[12]Single Family'!$C$6:$N$79,F$5,FALSE)</f>
        <v>0</v>
      </c>
      <c r="G14" s="65">
        <f>HLOOKUP($A14,'[12]Single Family'!$C$6:$N$79,G$5,FALSE)</f>
        <v>0</v>
      </c>
      <c r="H14" s="65">
        <f>HLOOKUP($A14,'[12]Single Family'!$C$6:$N$79,H$5,FALSE)</f>
        <v>0</v>
      </c>
      <c r="I14" s="65">
        <f>HLOOKUP($A14,'[12]Single Family'!$C$6:$N$79,I$5,FALSE)/2</f>
        <v>0</v>
      </c>
      <c r="J14" s="65">
        <f>HLOOKUP($A14,'[12]Single Family'!$C$6:$N$79,J$5,FALSE)/2</f>
        <v>0</v>
      </c>
      <c r="K14" s="65">
        <f>HLOOKUP($A14,'[12]Single Family'!$C$6:$N$79,K$5,FALSE)</f>
        <v>0</v>
      </c>
      <c r="L14" s="69">
        <f>HLOOKUP($A14,'[12]Single Family'!$C$6:$N$79,L$5,FALSE)</f>
        <v>0</v>
      </c>
      <c r="M14" s="70"/>
      <c r="N14" s="70">
        <f t="shared" si="0"/>
        <v>0</v>
      </c>
      <c r="P14" s="62"/>
    </row>
    <row r="15" spans="1:16" x14ac:dyDescent="0.2">
      <c r="A15" s="59">
        <f t="shared" si="1"/>
        <v>43496</v>
      </c>
      <c r="B15" s="60"/>
      <c r="C15" s="65">
        <f>HLOOKUP($A15,'[12]Single Family'!$C$6:$N$79,C$5,FALSE)</f>
        <v>0</v>
      </c>
      <c r="D15" s="69">
        <f>HLOOKUP($A15,'[12]Single Family'!$C$6:$N$79,D$5,FALSE)</f>
        <v>0</v>
      </c>
      <c r="E15" s="69">
        <f>HLOOKUP($A15,'[12]Single Family'!$C$6:$N$79,E$5,FALSE)</f>
        <v>0</v>
      </c>
      <c r="F15" s="65">
        <f>HLOOKUP($A15,'[12]Single Family'!$C$6:$N$79,F$5,FALSE)</f>
        <v>0</v>
      </c>
      <c r="G15" s="65">
        <f>HLOOKUP($A15,'[12]Single Family'!$C$6:$N$79,G$5,FALSE)</f>
        <v>0</v>
      </c>
      <c r="H15" s="65">
        <f>HLOOKUP($A15,'[12]Single Family'!$C$6:$N$79,H$5,FALSE)</f>
        <v>0</v>
      </c>
      <c r="I15" s="65">
        <f>HLOOKUP($A15,'[12]Single Family'!$C$6:$N$79,I$5,FALSE)/2</f>
        <v>0</v>
      </c>
      <c r="J15" s="65">
        <f>HLOOKUP($A15,'[12]Single Family'!$C$6:$N$79,J$5,FALSE)/2</f>
        <v>0</v>
      </c>
      <c r="K15" s="65">
        <f>HLOOKUP($A15,'[12]Single Family'!$C$6:$N$79,K$5,FALSE)</f>
        <v>0</v>
      </c>
      <c r="L15" s="69">
        <f>HLOOKUP($A15,'[12]Single Family'!$C$6:$N$79,L$5,FALSE)</f>
        <v>0</v>
      </c>
      <c r="M15" s="70"/>
      <c r="N15" s="70">
        <f t="shared" si="0"/>
        <v>0</v>
      </c>
      <c r="P15" s="62"/>
    </row>
    <row r="16" spans="1:16" x14ac:dyDescent="0.2">
      <c r="A16" s="59">
        <f t="shared" si="1"/>
        <v>43524</v>
      </c>
      <c r="B16" s="60"/>
      <c r="C16" s="65">
        <f>HLOOKUP($A16,'[12]Single Family'!$C$6:$N$79,C$5,FALSE)</f>
        <v>0</v>
      </c>
      <c r="D16" s="69">
        <f>HLOOKUP($A16,'[12]Single Family'!$C$6:$N$79,D$5,FALSE)</f>
        <v>0</v>
      </c>
      <c r="E16" s="69">
        <f>HLOOKUP($A16,'[12]Single Family'!$C$6:$N$79,E$5,FALSE)</f>
        <v>0</v>
      </c>
      <c r="F16" s="65">
        <f>HLOOKUP($A16,'[12]Single Family'!$C$6:$N$79,F$5,FALSE)</f>
        <v>0</v>
      </c>
      <c r="G16" s="65">
        <f>HLOOKUP($A16,'[12]Single Family'!$C$6:$N$79,G$5,FALSE)</f>
        <v>0</v>
      </c>
      <c r="H16" s="65">
        <f>HLOOKUP($A16,'[12]Single Family'!$C$6:$N$79,H$5,FALSE)</f>
        <v>0</v>
      </c>
      <c r="I16" s="65">
        <f>HLOOKUP($A16,'[12]Single Family'!$C$6:$N$79,I$5,FALSE)/2</f>
        <v>0</v>
      </c>
      <c r="J16" s="65">
        <f>HLOOKUP($A16,'[12]Single Family'!$C$6:$N$79,J$5,FALSE)/2</f>
        <v>0</v>
      </c>
      <c r="K16" s="65">
        <f>HLOOKUP($A16,'[12]Single Family'!$C$6:$N$79,K$5,FALSE)</f>
        <v>0</v>
      </c>
      <c r="L16" s="69">
        <f>HLOOKUP($A16,'[12]Single Family'!$C$6:$N$79,L$5,FALSE)</f>
        <v>0</v>
      </c>
      <c r="M16" s="70"/>
      <c r="N16" s="70">
        <f t="shared" si="0"/>
        <v>0</v>
      </c>
      <c r="P16" s="62"/>
    </row>
    <row r="17" spans="1:16" x14ac:dyDescent="0.2">
      <c r="A17" s="59">
        <f t="shared" si="1"/>
        <v>43555</v>
      </c>
      <c r="B17" s="60"/>
      <c r="C17" s="65">
        <f>HLOOKUP($A17,'[12]Single Family'!$C$6:$N$79,C$5,FALSE)</f>
        <v>0</v>
      </c>
      <c r="D17" s="69">
        <f>HLOOKUP($A17,'[12]Single Family'!$C$6:$N$79,D$5,FALSE)</f>
        <v>0</v>
      </c>
      <c r="E17" s="69">
        <f>HLOOKUP($A17,'[12]Single Family'!$C$6:$N$79,E$5,FALSE)</f>
        <v>0</v>
      </c>
      <c r="F17" s="65">
        <f>HLOOKUP($A17,'[12]Single Family'!$C$6:$N$79,F$5,FALSE)</f>
        <v>0</v>
      </c>
      <c r="G17" s="65">
        <f>HLOOKUP($A17,'[12]Single Family'!$C$6:$N$79,G$5,FALSE)</f>
        <v>0</v>
      </c>
      <c r="H17" s="65">
        <f>HLOOKUP($A17,'[12]Single Family'!$C$6:$N$79,H$5,FALSE)</f>
        <v>0</v>
      </c>
      <c r="I17" s="65">
        <f>HLOOKUP($A17,'[12]Single Family'!$C$6:$N$79,I$5,FALSE)/2</f>
        <v>0</v>
      </c>
      <c r="J17" s="65">
        <f>HLOOKUP($A17,'[12]Single Family'!$C$6:$N$79,J$5,FALSE)/2</f>
        <v>0</v>
      </c>
      <c r="K17" s="65">
        <f>HLOOKUP($A17,'[12]Single Family'!$C$6:$N$79,K$5,FALSE)</f>
        <v>0</v>
      </c>
      <c r="L17" s="69">
        <f>HLOOKUP($A17,'[12]Single Family'!$C$6:$N$79,L$5,FALSE)</f>
        <v>0</v>
      </c>
      <c r="M17" s="70"/>
      <c r="N17" s="70">
        <f t="shared" si="0"/>
        <v>0</v>
      </c>
      <c r="P17" s="62"/>
    </row>
    <row r="18" spans="1:16" x14ac:dyDescent="0.2">
      <c r="A18" s="59">
        <f t="shared" si="1"/>
        <v>43585</v>
      </c>
      <c r="B18" s="60"/>
      <c r="C18" s="65">
        <f>HLOOKUP($A18,'[12]Single Family'!$C$6:$N$79,C$5,FALSE)</f>
        <v>0</v>
      </c>
      <c r="D18" s="69">
        <f>HLOOKUP($A18,'[12]Single Family'!$C$6:$N$79,D$5,FALSE)</f>
        <v>0</v>
      </c>
      <c r="E18" s="69">
        <f>HLOOKUP($A18,'[12]Single Family'!$C$6:$N$79,E$5,FALSE)</f>
        <v>0</v>
      </c>
      <c r="F18" s="65">
        <f>HLOOKUP($A18,'[12]Single Family'!$C$6:$N$79,F$5,FALSE)</f>
        <v>0</v>
      </c>
      <c r="G18" s="65">
        <f>HLOOKUP($A18,'[12]Single Family'!$C$6:$N$79,G$5,FALSE)</f>
        <v>0</v>
      </c>
      <c r="H18" s="65">
        <f>HLOOKUP($A18,'[12]Single Family'!$C$6:$N$79,H$5,FALSE)</f>
        <v>0</v>
      </c>
      <c r="I18" s="65">
        <f>HLOOKUP($A18,'[12]Single Family'!$C$6:$N$79,I$5,FALSE)/2</f>
        <v>0</v>
      </c>
      <c r="J18" s="65">
        <f>HLOOKUP($A18,'[12]Single Family'!$C$6:$N$79,J$5,FALSE)/2</f>
        <v>0</v>
      </c>
      <c r="K18" s="65">
        <f>HLOOKUP($A18,'[12]Single Family'!$C$6:$N$79,K$5,FALSE)</f>
        <v>0</v>
      </c>
      <c r="L18" s="69">
        <f>HLOOKUP($A18,'[12]Single Family'!$C$6:$N$79,L$5,FALSE)</f>
        <v>0</v>
      </c>
      <c r="M18" s="70"/>
      <c r="N18" s="70">
        <f t="shared" si="0"/>
        <v>0</v>
      </c>
      <c r="P18" s="62"/>
    </row>
    <row r="19" spans="1:16" ht="13.5" customHeight="1" x14ac:dyDescent="0.2">
      <c r="A19" s="59"/>
      <c r="B19" s="60"/>
      <c r="C19" s="70"/>
      <c r="D19" s="70"/>
      <c r="E19" s="70"/>
      <c r="F19" s="70"/>
      <c r="G19" s="70"/>
      <c r="H19" s="70"/>
      <c r="I19" s="70"/>
      <c r="J19" s="70"/>
      <c r="K19" s="70"/>
      <c r="L19" s="70"/>
      <c r="M19" s="70"/>
      <c r="N19" s="70"/>
      <c r="O19" t="s">
        <v>32</v>
      </c>
    </row>
    <row r="20" spans="1:16" x14ac:dyDescent="0.2">
      <c r="A20" s="63" t="s">
        <v>33</v>
      </c>
      <c r="B20" s="60"/>
      <c r="C20" s="77">
        <f t="shared" ref="C20:L20" si="2">SUM(C7:C19)</f>
        <v>28.309950000000001</v>
      </c>
      <c r="D20" s="77">
        <f t="shared" si="2"/>
        <v>667.35988799999996</v>
      </c>
      <c r="E20" s="77">
        <f t="shared" si="2"/>
        <v>0</v>
      </c>
      <c r="F20" s="77">
        <f t="shared" si="2"/>
        <v>62.281890000000011</v>
      </c>
      <c r="G20" s="77">
        <f t="shared" si="2"/>
        <v>0</v>
      </c>
      <c r="H20" s="77">
        <f t="shared" si="2"/>
        <v>1950.7442879999994</v>
      </c>
      <c r="I20" s="77">
        <f t="shared" si="2"/>
        <v>84.741117000000003</v>
      </c>
      <c r="J20" s="77">
        <f t="shared" si="2"/>
        <v>84.741117000000003</v>
      </c>
      <c r="K20" s="77">
        <f t="shared" si="2"/>
        <v>672.64441199999999</v>
      </c>
      <c r="L20" s="77">
        <f t="shared" si="2"/>
        <v>223.8373380000005</v>
      </c>
      <c r="M20" s="70"/>
      <c r="N20" s="77">
        <f>SUM(N7:N18)</f>
        <v>3774.66</v>
      </c>
      <c r="O20" s="61">
        <f>N20/15</f>
        <v>251.64399999999998</v>
      </c>
    </row>
    <row r="21" spans="1:16" x14ac:dyDescent="0.2">
      <c r="A21" s="59"/>
      <c r="B21" s="60"/>
      <c r="C21" s="60"/>
      <c r="D21" s="60"/>
      <c r="E21" s="60"/>
      <c r="F21" s="60"/>
      <c r="G21" s="60"/>
      <c r="H21" s="60"/>
      <c r="I21" s="60"/>
      <c r="J21" s="60"/>
      <c r="K21" s="60"/>
      <c r="L21" s="60"/>
      <c r="M21" s="60"/>
      <c r="N21" s="61" t="str">
        <f>IF(N20&lt;&gt;SUM('[12]Single Family'!$C$66:$N$66),"ERROR","")</f>
        <v/>
      </c>
    </row>
    <row r="22" spans="1:16" x14ac:dyDescent="0.2">
      <c r="A22" s="60"/>
      <c r="B22" s="60"/>
      <c r="C22" s="60"/>
      <c r="D22" s="60"/>
      <c r="E22" s="60"/>
      <c r="F22" s="60"/>
      <c r="G22" s="60"/>
      <c r="H22" s="60"/>
      <c r="I22" s="60"/>
      <c r="J22" s="60"/>
      <c r="K22" s="60"/>
      <c r="L22" s="60"/>
      <c r="M22" s="61"/>
    </row>
    <row r="23" spans="1:16" x14ac:dyDescent="0.2">
      <c r="A23" s="60"/>
      <c r="B23" s="60"/>
      <c r="C23" s="60"/>
      <c r="D23" s="60"/>
      <c r="E23" s="60"/>
      <c r="F23" s="60"/>
      <c r="G23" s="60"/>
      <c r="H23" s="60"/>
      <c r="I23" s="60"/>
      <c r="J23" s="60"/>
      <c r="K23" s="60"/>
      <c r="L23" s="60"/>
      <c r="M23" s="61"/>
    </row>
    <row r="24" spans="1:16" x14ac:dyDescent="0.2">
      <c r="A24" s="60"/>
      <c r="B24" s="60"/>
      <c r="C24" s="60"/>
      <c r="D24" s="60"/>
      <c r="E24" s="60"/>
      <c r="F24" s="60"/>
      <c r="G24" s="60"/>
      <c r="H24" s="60"/>
      <c r="I24" s="60"/>
      <c r="J24" s="60"/>
      <c r="K24" s="60"/>
      <c r="L24" s="60"/>
      <c r="M24" s="61"/>
    </row>
    <row r="25" spans="1:16" x14ac:dyDescent="0.2">
      <c r="A25" s="60"/>
      <c r="B25" s="60"/>
      <c r="C25" s="60"/>
      <c r="D25" s="60"/>
      <c r="E25" s="60"/>
      <c r="F25" s="60"/>
      <c r="G25" s="60"/>
      <c r="H25" s="60"/>
      <c r="I25" s="60"/>
      <c r="J25" s="60"/>
      <c r="K25" s="60"/>
      <c r="L25" s="60"/>
      <c r="M25" s="60"/>
    </row>
    <row r="26" spans="1:16" x14ac:dyDescent="0.2">
      <c r="A26" s="60"/>
      <c r="B26" s="60"/>
      <c r="C26" s="60"/>
      <c r="D26" s="60"/>
      <c r="E26" s="60"/>
      <c r="F26" s="60"/>
      <c r="G26" s="60"/>
      <c r="H26" s="60"/>
      <c r="I26" s="60"/>
      <c r="J26" s="60"/>
      <c r="K26" s="60"/>
      <c r="L26" s="60"/>
      <c r="M26" s="60"/>
    </row>
    <row r="27" spans="1:16" x14ac:dyDescent="0.2">
      <c r="A27" s="60"/>
      <c r="B27" s="60"/>
      <c r="C27" s="60"/>
      <c r="D27" s="60"/>
      <c r="E27" s="60"/>
      <c r="F27" s="60"/>
      <c r="G27" s="60"/>
      <c r="H27" s="60"/>
      <c r="I27" s="60"/>
      <c r="J27" s="60"/>
      <c r="K27" s="60"/>
      <c r="L27" s="60"/>
      <c r="M27" s="60"/>
    </row>
    <row r="28" spans="1:16" x14ac:dyDescent="0.2">
      <c r="A28" s="60"/>
      <c r="B28" s="60"/>
      <c r="C28" s="60"/>
      <c r="D28" s="60"/>
      <c r="E28" s="60"/>
      <c r="F28" s="60"/>
      <c r="G28" s="60"/>
      <c r="H28" s="60"/>
      <c r="I28" s="60"/>
      <c r="J28" s="60"/>
      <c r="K28" s="60"/>
      <c r="L28" s="60"/>
      <c r="M28" s="60"/>
    </row>
    <row r="29" spans="1:16" x14ac:dyDescent="0.2">
      <c r="A29" s="60"/>
      <c r="B29" s="60"/>
      <c r="C29" s="60"/>
      <c r="D29" s="60"/>
      <c r="E29" s="60"/>
      <c r="F29" s="60"/>
      <c r="G29" s="60"/>
      <c r="H29" s="60"/>
      <c r="I29" s="60"/>
      <c r="J29" s="60"/>
      <c r="K29" s="60"/>
      <c r="L29" s="60"/>
      <c r="M29" s="60"/>
    </row>
    <row r="30" spans="1:16" x14ac:dyDescent="0.2">
      <c r="A30" s="60"/>
      <c r="B30" s="60"/>
      <c r="C30" s="60"/>
      <c r="D30" s="60"/>
      <c r="E30" s="60"/>
      <c r="F30" s="60"/>
      <c r="G30" s="60"/>
      <c r="H30" s="60"/>
      <c r="I30" s="60"/>
      <c r="J30" s="60"/>
      <c r="K30" s="60"/>
      <c r="L30" s="60"/>
      <c r="M30" s="60"/>
    </row>
    <row r="31" spans="1:16" x14ac:dyDescent="0.2">
      <c r="A31" s="60"/>
      <c r="B31" s="60"/>
      <c r="C31" s="60"/>
      <c r="D31" s="60"/>
      <c r="E31" s="60"/>
      <c r="F31" s="60"/>
      <c r="G31" s="60"/>
      <c r="H31" s="60"/>
      <c r="I31" s="60"/>
      <c r="J31" s="60"/>
      <c r="K31" s="60"/>
      <c r="L31" s="60"/>
      <c r="M31" s="60"/>
    </row>
    <row r="32" spans="1:16" x14ac:dyDescent="0.2">
      <c r="A32" s="60"/>
      <c r="B32" s="60"/>
      <c r="C32" s="60"/>
      <c r="D32" s="60"/>
      <c r="E32" s="60"/>
      <c r="F32" s="60"/>
      <c r="G32" s="60"/>
      <c r="H32" s="60"/>
      <c r="I32" s="60"/>
      <c r="J32" s="60"/>
      <c r="K32" s="60"/>
      <c r="L32" s="60"/>
      <c r="M32" s="60"/>
    </row>
    <row r="33" spans="1:13" x14ac:dyDescent="0.2">
      <c r="A33" s="60"/>
      <c r="B33" s="60"/>
      <c r="C33" s="60"/>
      <c r="D33" s="60"/>
      <c r="E33" s="60"/>
      <c r="F33" s="60"/>
      <c r="G33" s="60"/>
      <c r="H33" s="60"/>
      <c r="I33" s="60"/>
      <c r="J33" s="60"/>
      <c r="K33" s="60"/>
      <c r="L33" s="60"/>
      <c r="M33" s="60"/>
    </row>
    <row r="34" spans="1:13" x14ac:dyDescent="0.2">
      <c r="A34" s="60"/>
      <c r="B34" s="60"/>
      <c r="C34" s="60"/>
      <c r="D34" s="60"/>
      <c r="E34" s="60"/>
      <c r="F34" s="60"/>
      <c r="G34" s="60"/>
      <c r="H34" s="60"/>
      <c r="I34" s="60"/>
      <c r="J34" s="60"/>
      <c r="K34" s="60"/>
      <c r="L34" s="60"/>
      <c r="M34" s="60"/>
    </row>
    <row r="35" spans="1:13" x14ac:dyDescent="0.2">
      <c r="A35" s="60"/>
      <c r="B35" s="60"/>
      <c r="C35" s="60"/>
      <c r="D35" s="60"/>
      <c r="E35" s="60"/>
      <c r="F35" s="60"/>
      <c r="G35" s="60"/>
      <c r="H35" s="60"/>
      <c r="I35" s="60"/>
      <c r="J35" s="60"/>
      <c r="K35" s="60"/>
      <c r="L35" s="60"/>
      <c r="M35" s="60"/>
    </row>
    <row r="36" spans="1:13" x14ac:dyDescent="0.2">
      <c r="A36" s="60"/>
      <c r="B36" s="60"/>
      <c r="C36" s="60"/>
      <c r="D36" s="60"/>
      <c r="E36" s="60"/>
      <c r="F36" s="60"/>
      <c r="G36" s="60"/>
      <c r="H36" s="60"/>
      <c r="I36" s="60"/>
      <c r="J36" s="60"/>
      <c r="K36" s="60"/>
      <c r="L36" s="60"/>
      <c r="M36" s="60"/>
    </row>
    <row r="37" spans="1:13" x14ac:dyDescent="0.2">
      <c r="A37" s="60"/>
      <c r="B37" s="60"/>
      <c r="C37" s="60"/>
      <c r="D37" s="60"/>
      <c r="E37" s="60"/>
      <c r="F37" s="60"/>
      <c r="G37" s="60"/>
      <c r="H37" s="60"/>
      <c r="I37" s="60"/>
      <c r="J37" s="60"/>
      <c r="K37" s="60"/>
      <c r="L37" s="60"/>
      <c r="M37" s="60"/>
    </row>
    <row r="38" spans="1:13" x14ac:dyDescent="0.2">
      <c r="A38" s="60"/>
      <c r="B38" s="60"/>
      <c r="C38" s="60"/>
      <c r="D38" s="60"/>
      <c r="E38" s="60"/>
      <c r="F38" s="60"/>
      <c r="G38" s="60"/>
      <c r="H38" s="60"/>
      <c r="I38" s="60"/>
      <c r="J38" s="60"/>
      <c r="K38" s="60"/>
      <c r="L38" s="60"/>
      <c r="M38" s="60"/>
    </row>
    <row r="39" spans="1:13" x14ac:dyDescent="0.2">
      <c r="A39" s="60"/>
      <c r="B39" s="60"/>
      <c r="C39" s="60"/>
      <c r="D39" s="60"/>
      <c r="E39" s="60"/>
      <c r="F39" s="60"/>
      <c r="G39" s="60"/>
      <c r="H39" s="60"/>
      <c r="I39" s="60"/>
      <c r="J39" s="60"/>
      <c r="K39" s="60"/>
      <c r="L39" s="60"/>
      <c r="M39" s="60"/>
    </row>
    <row r="40" spans="1:13" x14ac:dyDescent="0.2">
      <c r="A40" s="60"/>
      <c r="B40" s="60"/>
      <c r="C40" s="60"/>
      <c r="D40" s="60"/>
      <c r="E40" s="60"/>
      <c r="F40" s="60"/>
      <c r="G40" s="60"/>
      <c r="H40" s="60"/>
      <c r="I40" s="60"/>
      <c r="J40" s="60"/>
      <c r="K40" s="60"/>
      <c r="L40" s="60"/>
      <c r="M40" s="60"/>
    </row>
    <row r="41" spans="1:13" x14ac:dyDescent="0.2">
      <c r="A41" s="60"/>
      <c r="B41" s="60"/>
      <c r="C41" s="60"/>
      <c r="D41" s="60"/>
      <c r="E41" s="60"/>
      <c r="F41" s="60"/>
      <c r="G41" s="60"/>
      <c r="H41" s="60"/>
      <c r="I41" s="60"/>
      <c r="J41" s="60"/>
      <c r="K41" s="60"/>
      <c r="L41" s="60"/>
      <c r="M41" s="60"/>
    </row>
    <row r="42" spans="1:13" x14ac:dyDescent="0.2">
      <c r="A42" s="60"/>
      <c r="B42" s="60"/>
      <c r="C42" s="60"/>
      <c r="D42" s="60"/>
      <c r="E42" s="60"/>
      <c r="F42" s="60"/>
      <c r="G42" s="60"/>
      <c r="H42" s="60"/>
      <c r="I42" s="60"/>
      <c r="J42" s="60"/>
      <c r="K42" s="60"/>
      <c r="L42" s="60"/>
      <c r="M42" s="60"/>
    </row>
    <row r="43" spans="1:13" x14ac:dyDescent="0.2">
      <c r="A43" s="60"/>
      <c r="B43" s="60"/>
      <c r="C43" s="60"/>
      <c r="D43" s="60"/>
      <c r="E43" s="60"/>
      <c r="F43" s="60"/>
      <c r="G43" s="60"/>
      <c r="H43" s="60"/>
      <c r="I43" s="60"/>
      <c r="J43" s="60"/>
      <c r="K43" s="60"/>
      <c r="L43" s="60"/>
      <c r="M43" s="60"/>
    </row>
    <row r="44" spans="1:13" x14ac:dyDescent="0.2">
      <c r="A44" s="60"/>
      <c r="B44" s="60"/>
      <c r="C44" s="60"/>
      <c r="D44" s="60"/>
      <c r="E44" s="60"/>
      <c r="F44" s="60"/>
      <c r="G44" s="60"/>
      <c r="H44" s="60"/>
      <c r="I44" s="60"/>
      <c r="J44" s="60"/>
      <c r="K44" s="60"/>
      <c r="L44" s="60"/>
      <c r="M44" s="60"/>
    </row>
    <row r="45" spans="1:13" x14ac:dyDescent="0.2">
      <c r="A45" s="60"/>
      <c r="B45" s="60"/>
      <c r="C45" s="60"/>
      <c r="D45" s="60"/>
      <c r="E45" s="60"/>
      <c r="F45" s="60"/>
      <c r="G45" s="60"/>
      <c r="H45" s="60"/>
      <c r="I45" s="60"/>
      <c r="J45" s="60"/>
      <c r="K45" s="60"/>
      <c r="L45" s="60"/>
      <c r="M45" s="60"/>
    </row>
    <row r="46" spans="1:13" x14ac:dyDescent="0.2">
      <c r="A46" s="60"/>
      <c r="B46" s="60"/>
      <c r="C46" s="60"/>
      <c r="D46" s="60"/>
      <c r="E46" s="60"/>
      <c r="F46" s="60"/>
      <c r="G46" s="60"/>
      <c r="H46" s="60"/>
      <c r="I46" s="60"/>
      <c r="J46" s="60"/>
      <c r="K46" s="60"/>
      <c r="L46" s="60"/>
      <c r="M46" s="60"/>
    </row>
    <row r="47" spans="1:13" x14ac:dyDescent="0.2">
      <c r="A47" s="60"/>
      <c r="B47" s="60"/>
      <c r="C47" s="60"/>
      <c r="D47" s="60"/>
      <c r="E47" s="60"/>
      <c r="F47" s="60"/>
      <c r="G47" s="60"/>
      <c r="H47" s="60"/>
      <c r="I47" s="60"/>
      <c r="J47" s="60"/>
      <c r="K47" s="60"/>
      <c r="L47" s="60"/>
      <c r="M47" s="60"/>
    </row>
    <row r="48" spans="1:13" x14ac:dyDescent="0.2">
      <c r="A48" s="60"/>
      <c r="B48" s="60"/>
      <c r="C48" s="60"/>
      <c r="D48" s="60"/>
      <c r="E48" s="60"/>
      <c r="F48" s="60"/>
      <c r="G48" s="60"/>
      <c r="H48" s="60"/>
      <c r="I48" s="60"/>
      <c r="J48" s="60"/>
      <c r="K48" s="60"/>
      <c r="L48" s="60"/>
      <c r="M48" s="60"/>
    </row>
    <row r="49" spans="1:13" x14ac:dyDescent="0.2">
      <c r="A49" s="60"/>
      <c r="B49" s="60"/>
      <c r="C49" s="60"/>
      <c r="D49" s="60"/>
      <c r="E49" s="60"/>
      <c r="F49" s="60"/>
      <c r="G49" s="60"/>
      <c r="H49" s="60"/>
      <c r="I49" s="60"/>
      <c r="J49" s="60"/>
      <c r="K49" s="60"/>
      <c r="L49" s="60"/>
      <c r="M49" s="60"/>
    </row>
    <row r="50" spans="1:13" x14ac:dyDescent="0.2">
      <c r="A50" s="60"/>
      <c r="B50" s="60"/>
      <c r="C50" s="60"/>
      <c r="D50" s="60"/>
      <c r="E50" s="60"/>
      <c r="F50" s="60"/>
      <c r="G50" s="60"/>
      <c r="H50" s="60"/>
      <c r="I50" s="60"/>
      <c r="J50" s="60"/>
      <c r="K50" s="60"/>
      <c r="L50" s="60"/>
      <c r="M50" s="60"/>
    </row>
    <row r="51" spans="1:13" x14ac:dyDescent="0.2">
      <c r="A51" s="60"/>
      <c r="B51" s="60"/>
      <c r="C51" s="60"/>
      <c r="D51" s="60"/>
      <c r="E51" s="60"/>
      <c r="F51" s="60"/>
      <c r="G51" s="60"/>
      <c r="H51" s="60"/>
      <c r="I51" s="60"/>
      <c r="J51" s="60"/>
      <c r="K51" s="60"/>
      <c r="L51" s="60"/>
      <c r="M51" s="60"/>
    </row>
    <row r="52" spans="1:13" x14ac:dyDescent="0.2">
      <c r="A52" s="60"/>
      <c r="B52" s="60"/>
      <c r="C52" s="60"/>
      <c r="D52" s="60"/>
      <c r="E52" s="60"/>
      <c r="F52" s="60"/>
      <c r="G52" s="60"/>
      <c r="H52" s="60"/>
      <c r="I52" s="60"/>
      <c r="J52" s="60"/>
      <c r="K52" s="60"/>
      <c r="L52" s="60"/>
      <c r="M52" s="60"/>
    </row>
    <row r="53" spans="1:13" x14ac:dyDescent="0.2">
      <c r="A53" s="60"/>
      <c r="B53" s="60"/>
      <c r="C53" s="60"/>
      <c r="D53" s="60"/>
      <c r="E53" s="60"/>
      <c r="F53" s="60"/>
      <c r="G53" s="60"/>
      <c r="H53" s="60"/>
      <c r="I53" s="60"/>
      <c r="J53" s="60"/>
      <c r="K53" s="60"/>
      <c r="L53" s="60"/>
      <c r="M53" s="60"/>
    </row>
    <row r="54" spans="1:13" x14ac:dyDescent="0.2">
      <c r="A54" s="60"/>
      <c r="B54" s="60"/>
      <c r="C54" s="60"/>
      <c r="D54" s="60"/>
      <c r="E54" s="60"/>
      <c r="F54" s="60"/>
      <c r="G54" s="60"/>
      <c r="H54" s="60"/>
      <c r="I54" s="60"/>
      <c r="J54" s="60"/>
      <c r="K54" s="60"/>
      <c r="L54" s="60"/>
      <c r="M54" s="60"/>
    </row>
    <row r="55" spans="1:13" x14ac:dyDescent="0.2">
      <c r="A55" s="60"/>
      <c r="B55" s="60"/>
      <c r="C55" s="60"/>
      <c r="D55" s="60"/>
      <c r="E55" s="60"/>
      <c r="F55" s="60"/>
      <c r="G55" s="60"/>
      <c r="H55" s="60"/>
      <c r="I55" s="60"/>
      <c r="J55" s="60"/>
      <c r="K55" s="60"/>
      <c r="L55" s="60"/>
      <c r="M55" s="60"/>
    </row>
    <row r="56" spans="1:13" x14ac:dyDescent="0.2">
      <c r="A56" s="60"/>
      <c r="B56" s="60"/>
      <c r="C56" s="60"/>
      <c r="D56" s="60"/>
      <c r="E56" s="60"/>
      <c r="F56" s="60"/>
      <c r="G56" s="60"/>
      <c r="H56" s="60"/>
      <c r="I56" s="60"/>
      <c r="J56" s="60"/>
      <c r="K56" s="60"/>
      <c r="L56" s="60"/>
      <c r="M56" s="60"/>
    </row>
    <row r="57" spans="1:13" x14ac:dyDescent="0.2">
      <c r="A57" s="60"/>
      <c r="B57" s="60"/>
      <c r="C57" s="60"/>
      <c r="D57" s="60"/>
      <c r="E57" s="60"/>
      <c r="F57" s="60"/>
      <c r="G57" s="60"/>
      <c r="H57" s="60"/>
      <c r="I57" s="60"/>
      <c r="J57" s="60"/>
      <c r="K57" s="60"/>
      <c r="L57" s="60"/>
      <c r="M57" s="60"/>
    </row>
    <row r="58" spans="1:13" x14ac:dyDescent="0.2">
      <c r="A58" s="60"/>
      <c r="B58" s="60"/>
      <c r="C58" s="60"/>
      <c r="D58" s="60"/>
      <c r="E58" s="60"/>
      <c r="F58" s="60"/>
      <c r="G58" s="60"/>
      <c r="H58" s="60"/>
      <c r="I58" s="60"/>
      <c r="J58" s="60"/>
      <c r="K58" s="60"/>
      <c r="L58" s="60"/>
      <c r="M58" s="60"/>
    </row>
    <row r="59" spans="1:13" x14ac:dyDescent="0.2">
      <c r="A59" s="60"/>
      <c r="B59" s="60"/>
      <c r="C59" s="60"/>
      <c r="D59" s="60"/>
      <c r="E59" s="60"/>
      <c r="F59" s="60"/>
      <c r="G59" s="60"/>
      <c r="H59" s="60"/>
      <c r="I59" s="60"/>
      <c r="J59" s="60"/>
      <c r="K59" s="60"/>
      <c r="L59" s="60"/>
      <c r="M59" s="60"/>
    </row>
    <row r="60" spans="1:13" x14ac:dyDescent="0.2">
      <c r="A60" s="60"/>
      <c r="B60" s="60"/>
      <c r="C60" s="60"/>
      <c r="D60" s="60"/>
      <c r="E60" s="60"/>
      <c r="F60" s="60"/>
      <c r="G60" s="60"/>
      <c r="H60" s="60"/>
      <c r="I60" s="60"/>
      <c r="J60" s="60"/>
      <c r="K60" s="60"/>
      <c r="L60" s="60"/>
      <c r="M60" s="60"/>
    </row>
    <row r="61" spans="1:13" x14ac:dyDescent="0.2">
      <c r="A61" s="60"/>
      <c r="B61" s="60"/>
      <c r="C61" s="60"/>
      <c r="D61" s="60"/>
      <c r="E61" s="60"/>
      <c r="F61" s="60"/>
      <c r="G61" s="60"/>
      <c r="H61" s="60"/>
      <c r="I61" s="60"/>
      <c r="J61" s="60"/>
      <c r="K61" s="60"/>
      <c r="L61" s="60"/>
      <c r="M61" s="60"/>
    </row>
    <row r="62" spans="1:13" x14ac:dyDescent="0.2">
      <c r="A62" s="60"/>
      <c r="B62" s="60"/>
      <c r="C62" s="60"/>
      <c r="D62" s="60"/>
      <c r="E62" s="60"/>
      <c r="F62" s="60"/>
      <c r="G62" s="60"/>
      <c r="H62" s="60"/>
      <c r="I62" s="60"/>
      <c r="J62" s="60"/>
      <c r="K62" s="60"/>
      <c r="L62" s="60"/>
      <c r="M62" s="60"/>
    </row>
    <row r="63" spans="1:13" x14ac:dyDescent="0.2">
      <c r="A63" s="60"/>
      <c r="B63" s="60"/>
      <c r="C63" s="60"/>
      <c r="D63" s="60"/>
      <c r="E63" s="60"/>
      <c r="F63" s="60"/>
      <c r="G63" s="60"/>
      <c r="H63" s="60"/>
      <c r="I63" s="60"/>
      <c r="J63" s="60"/>
      <c r="K63" s="60"/>
      <c r="L63" s="60"/>
      <c r="M63" s="60"/>
    </row>
    <row r="64" spans="1:13" x14ac:dyDescent="0.2">
      <c r="A64" s="60"/>
      <c r="B64" s="60"/>
      <c r="C64" s="60"/>
      <c r="D64" s="60"/>
      <c r="E64" s="60"/>
      <c r="F64" s="60"/>
      <c r="G64" s="60"/>
      <c r="H64" s="60"/>
      <c r="I64" s="60"/>
      <c r="J64" s="60"/>
      <c r="K64" s="60"/>
      <c r="L64" s="60"/>
      <c r="M64" s="60"/>
    </row>
    <row r="65" spans="1:13" x14ac:dyDescent="0.2">
      <c r="A65" s="60"/>
      <c r="B65" s="60"/>
      <c r="C65" s="60"/>
      <c r="D65" s="60"/>
      <c r="E65" s="60"/>
      <c r="F65" s="60"/>
      <c r="G65" s="60"/>
      <c r="H65" s="60"/>
      <c r="I65" s="60"/>
      <c r="J65" s="60"/>
      <c r="K65" s="60"/>
      <c r="L65" s="60"/>
      <c r="M65" s="60"/>
    </row>
    <row r="66" spans="1:13" x14ac:dyDescent="0.2">
      <c r="A66" s="60"/>
      <c r="B66" s="60"/>
      <c r="C66" s="60"/>
      <c r="D66" s="60"/>
      <c r="E66" s="60"/>
      <c r="F66" s="60"/>
      <c r="G66" s="60"/>
      <c r="H66" s="60"/>
      <c r="I66" s="60"/>
      <c r="J66" s="60"/>
      <c r="K66" s="60"/>
      <c r="L66" s="60"/>
      <c r="M66" s="60"/>
    </row>
    <row r="67" spans="1:13" x14ac:dyDescent="0.2">
      <c r="A67" s="60"/>
      <c r="B67" s="60"/>
      <c r="C67" s="60"/>
      <c r="D67" s="60"/>
      <c r="E67" s="60"/>
      <c r="F67" s="60"/>
      <c r="G67" s="60"/>
      <c r="H67" s="60"/>
      <c r="I67" s="60"/>
      <c r="J67" s="60"/>
      <c r="K67" s="60"/>
      <c r="L67" s="60"/>
      <c r="M67" s="60"/>
    </row>
    <row r="68" spans="1:13" x14ac:dyDescent="0.2">
      <c r="A68" s="60"/>
      <c r="B68" s="60"/>
      <c r="C68" s="60"/>
      <c r="D68" s="60"/>
      <c r="E68" s="60"/>
      <c r="F68" s="60"/>
      <c r="G68" s="60"/>
      <c r="H68" s="60"/>
      <c r="I68" s="60"/>
      <c r="J68" s="60"/>
      <c r="K68" s="60"/>
      <c r="L68" s="60"/>
      <c r="M68" s="60"/>
    </row>
    <row r="69" spans="1:13" x14ac:dyDescent="0.2">
      <c r="A69" s="60"/>
      <c r="B69" s="60"/>
      <c r="C69" s="60"/>
      <c r="D69" s="60"/>
      <c r="E69" s="60"/>
      <c r="F69" s="60"/>
      <c r="G69" s="60"/>
      <c r="H69" s="60"/>
      <c r="I69" s="60"/>
      <c r="J69" s="60"/>
      <c r="K69" s="60"/>
      <c r="L69" s="60"/>
      <c r="M69" s="60"/>
    </row>
    <row r="70" spans="1:13" x14ac:dyDescent="0.2">
      <c r="A70" s="60"/>
      <c r="B70" s="60"/>
      <c r="C70" s="60"/>
      <c r="D70" s="60"/>
      <c r="E70" s="60"/>
      <c r="F70" s="60"/>
      <c r="G70" s="60"/>
      <c r="H70" s="60"/>
      <c r="I70" s="60"/>
      <c r="J70" s="60"/>
      <c r="K70" s="60"/>
      <c r="L70" s="60"/>
      <c r="M70" s="60"/>
    </row>
    <row r="71" spans="1:13" x14ac:dyDescent="0.2">
      <c r="A71" s="60"/>
      <c r="B71" s="60"/>
      <c r="C71" s="60"/>
      <c r="D71" s="60"/>
      <c r="E71" s="60"/>
      <c r="F71" s="60"/>
      <c r="G71" s="60"/>
      <c r="H71" s="60"/>
      <c r="I71" s="60"/>
      <c r="J71" s="60"/>
      <c r="K71" s="60"/>
      <c r="L71" s="60"/>
      <c r="M71" s="60"/>
    </row>
    <row r="72" spans="1:13" x14ac:dyDescent="0.2">
      <c r="A72" s="60"/>
      <c r="B72" s="60"/>
      <c r="C72" s="60"/>
      <c r="D72" s="60"/>
      <c r="E72" s="60"/>
      <c r="F72" s="60"/>
      <c r="G72" s="60"/>
      <c r="H72" s="60"/>
      <c r="I72" s="60"/>
      <c r="J72" s="60"/>
      <c r="K72" s="60"/>
      <c r="L72" s="60"/>
      <c r="M72" s="60"/>
    </row>
    <row r="73" spans="1:13" x14ac:dyDescent="0.2">
      <c r="A73" s="60"/>
      <c r="B73" s="60"/>
      <c r="C73" s="60"/>
      <c r="D73" s="60"/>
      <c r="E73" s="60"/>
      <c r="F73" s="60"/>
      <c r="G73" s="60"/>
      <c r="H73" s="60"/>
      <c r="I73" s="60"/>
      <c r="J73" s="60"/>
      <c r="K73" s="60"/>
      <c r="L73" s="60"/>
      <c r="M73" s="60"/>
    </row>
    <row r="74" spans="1:13" x14ac:dyDescent="0.2">
      <c r="A74" s="60"/>
      <c r="B74" s="60"/>
      <c r="C74" s="60"/>
      <c r="D74" s="60"/>
      <c r="E74" s="60"/>
      <c r="F74" s="60"/>
      <c r="G74" s="60"/>
      <c r="H74" s="60"/>
      <c r="I74" s="60"/>
      <c r="J74" s="60"/>
      <c r="K74" s="60"/>
      <c r="L74" s="60"/>
      <c r="M74" s="60"/>
    </row>
    <row r="75" spans="1:13" x14ac:dyDescent="0.2">
      <c r="A75" s="60"/>
      <c r="B75" s="60"/>
      <c r="C75" s="60"/>
      <c r="D75" s="60"/>
      <c r="E75" s="60"/>
      <c r="F75" s="60"/>
      <c r="G75" s="60"/>
      <c r="H75" s="60"/>
      <c r="I75" s="60"/>
      <c r="J75" s="60"/>
      <c r="K75" s="60"/>
      <c r="L75" s="60"/>
      <c r="M75" s="60"/>
    </row>
    <row r="76" spans="1:13" x14ac:dyDescent="0.2">
      <c r="A76" s="60"/>
      <c r="B76" s="60"/>
      <c r="C76" s="60"/>
      <c r="D76" s="60"/>
      <c r="E76" s="60"/>
      <c r="F76" s="60"/>
      <c r="G76" s="60"/>
      <c r="H76" s="60"/>
      <c r="I76" s="60"/>
      <c r="J76" s="60"/>
      <c r="K76" s="60"/>
      <c r="L76" s="60"/>
      <c r="M76" s="60"/>
    </row>
    <row r="77" spans="1:13" x14ac:dyDescent="0.2">
      <c r="A77" s="60"/>
      <c r="B77" s="60"/>
      <c r="C77" s="60"/>
      <c r="D77" s="60"/>
      <c r="E77" s="60"/>
      <c r="F77" s="60"/>
      <c r="G77" s="60"/>
      <c r="H77" s="60"/>
      <c r="I77" s="60"/>
      <c r="J77" s="60"/>
      <c r="K77" s="60"/>
      <c r="L77" s="60"/>
      <c r="M77" s="60"/>
    </row>
    <row r="78" spans="1:13" x14ac:dyDescent="0.2">
      <c r="A78" s="60"/>
      <c r="B78" s="60"/>
      <c r="C78" s="60"/>
      <c r="D78" s="60"/>
      <c r="E78" s="60"/>
      <c r="F78" s="60"/>
      <c r="G78" s="60"/>
      <c r="H78" s="60"/>
      <c r="I78" s="60"/>
      <c r="J78" s="60"/>
      <c r="K78" s="60"/>
      <c r="L78" s="60"/>
      <c r="M78" s="60"/>
    </row>
    <row r="79" spans="1:13" x14ac:dyDescent="0.2">
      <c r="A79" s="60"/>
      <c r="B79" s="60"/>
      <c r="C79" s="60"/>
      <c r="D79" s="60"/>
      <c r="E79" s="60"/>
      <c r="F79" s="60"/>
      <c r="G79" s="60"/>
      <c r="H79" s="60"/>
      <c r="I79" s="60"/>
      <c r="J79" s="60"/>
      <c r="K79" s="60"/>
      <c r="L79" s="60"/>
      <c r="M79" s="60"/>
    </row>
    <row r="80" spans="1:13" x14ac:dyDescent="0.2">
      <c r="A80" s="60"/>
      <c r="B80" s="60"/>
      <c r="C80" s="60"/>
      <c r="D80" s="60"/>
      <c r="E80" s="60"/>
      <c r="F80" s="60"/>
      <c r="G80" s="60"/>
      <c r="H80" s="60"/>
      <c r="I80" s="60"/>
      <c r="J80" s="60"/>
      <c r="K80" s="60"/>
      <c r="L80" s="60"/>
      <c r="M80" s="60"/>
    </row>
    <row r="81" spans="1:13" x14ac:dyDescent="0.2">
      <c r="A81" s="60"/>
      <c r="B81" s="60"/>
      <c r="C81" s="60"/>
      <c r="D81" s="60"/>
      <c r="E81" s="60"/>
      <c r="F81" s="60"/>
      <c r="G81" s="60"/>
      <c r="H81" s="60"/>
      <c r="I81" s="60"/>
      <c r="J81" s="60"/>
      <c r="K81" s="60"/>
      <c r="L81" s="60"/>
      <c r="M81" s="60"/>
    </row>
    <row r="82" spans="1:13" x14ac:dyDescent="0.2">
      <c r="A82" s="60"/>
      <c r="B82" s="60"/>
      <c r="C82" s="60"/>
      <c r="D82" s="60"/>
      <c r="E82" s="60"/>
      <c r="F82" s="60"/>
      <c r="G82" s="60"/>
      <c r="H82" s="60"/>
      <c r="I82" s="60"/>
      <c r="J82" s="60"/>
      <c r="K82" s="60"/>
      <c r="L82" s="60"/>
      <c r="M82" s="60"/>
    </row>
    <row r="83" spans="1:13" x14ac:dyDescent="0.2">
      <c r="A83" s="60"/>
      <c r="B83" s="60"/>
      <c r="C83" s="60"/>
      <c r="D83" s="60"/>
      <c r="E83" s="60"/>
      <c r="F83" s="60"/>
      <c r="G83" s="60"/>
      <c r="H83" s="60"/>
      <c r="I83" s="60"/>
      <c r="J83" s="60"/>
      <c r="K83" s="60"/>
      <c r="L83" s="60"/>
      <c r="M83" s="60"/>
    </row>
    <row r="84" spans="1:13" x14ac:dyDescent="0.2">
      <c r="A84" s="60"/>
      <c r="B84" s="60"/>
      <c r="C84" s="60"/>
      <c r="D84" s="60"/>
      <c r="E84" s="60"/>
      <c r="F84" s="60"/>
      <c r="G84" s="60"/>
      <c r="H84" s="60"/>
      <c r="I84" s="60"/>
      <c r="J84" s="60"/>
      <c r="K84" s="60"/>
      <c r="L84" s="60"/>
      <c r="M84" s="60"/>
    </row>
    <row r="85" spans="1:13" x14ac:dyDescent="0.2">
      <c r="A85" s="60"/>
      <c r="B85" s="60"/>
      <c r="C85" s="60"/>
      <c r="D85" s="60"/>
      <c r="E85" s="60"/>
      <c r="F85" s="60"/>
      <c r="G85" s="60"/>
      <c r="H85" s="60"/>
      <c r="I85" s="60"/>
      <c r="J85" s="60"/>
      <c r="K85" s="60"/>
      <c r="L85" s="60"/>
      <c r="M85" s="60"/>
    </row>
    <row r="86" spans="1:13" x14ac:dyDescent="0.2">
      <c r="A86" s="60"/>
      <c r="B86" s="60"/>
      <c r="C86" s="60"/>
      <c r="D86" s="60"/>
      <c r="E86" s="60"/>
      <c r="F86" s="60"/>
      <c r="G86" s="60"/>
      <c r="H86" s="60"/>
      <c r="I86" s="60"/>
      <c r="J86" s="60"/>
      <c r="K86" s="60"/>
      <c r="L86" s="60"/>
      <c r="M86" s="60"/>
    </row>
    <row r="87" spans="1:13" x14ac:dyDescent="0.2">
      <c r="A87" s="60"/>
      <c r="B87" s="60"/>
      <c r="C87" s="60"/>
      <c r="D87" s="60"/>
      <c r="E87" s="60"/>
      <c r="F87" s="60"/>
      <c r="G87" s="60"/>
      <c r="H87" s="60"/>
      <c r="I87" s="60"/>
      <c r="J87" s="60"/>
      <c r="K87" s="60"/>
      <c r="L87" s="60"/>
      <c r="M87" s="60"/>
    </row>
    <row r="88" spans="1:13" x14ac:dyDescent="0.2">
      <c r="A88" s="60"/>
      <c r="B88" s="60"/>
      <c r="C88" s="60"/>
      <c r="D88" s="60"/>
      <c r="E88" s="60"/>
      <c r="F88" s="60"/>
      <c r="G88" s="60"/>
      <c r="H88" s="60"/>
      <c r="I88" s="60"/>
      <c r="J88" s="60"/>
      <c r="K88" s="60"/>
      <c r="L88" s="60"/>
      <c r="M88" s="60"/>
    </row>
    <row r="89" spans="1:13" x14ac:dyDescent="0.2">
      <c r="A89" s="60"/>
      <c r="B89" s="60"/>
      <c r="C89" s="60"/>
      <c r="D89" s="60"/>
      <c r="E89" s="60"/>
      <c r="F89" s="60"/>
      <c r="G89" s="60"/>
      <c r="H89" s="60"/>
      <c r="I89" s="60"/>
      <c r="J89" s="60"/>
      <c r="K89" s="60"/>
      <c r="L89" s="60"/>
      <c r="M89" s="60"/>
    </row>
    <row r="90" spans="1:13" x14ac:dyDescent="0.2">
      <c r="A90" s="60"/>
      <c r="B90" s="60"/>
      <c r="C90" s="60"/>
      <c r="D90" s="60"/>
      <c r="E90" s="60"/>
      <c r="F90" s="60"/>
      <c r="G90" s="60"/>
      <c r="H90" s="60"/>
      <c r="I90" s="60"/>
      <c r="J90" s="60"/>
      <c r="K90" s="60"/>
      <c r="L90" s="60"/>
      <c r="M90" s="60"/>
    </row>
    <row r="91" spans="1:13" x14ac:dyDescent="0.2">
      <c r="A91" s="60"/>
      <c r="B91" s="60"/>
      <c r="C91" s="60"/>
      <c r="D91" s="60"/>
      <c r="E91" s="60"/>
      <c r="F91" s="60"/>
      <c r="G91" s="60"/>
      <c r="H91" s="60"/>
      <c r="I91" s="60"/>
      <c r="J91" s="60"/>
      <c r="K91" s="60"/>
      <c r="L91" s="60"/>
      <c r="M91" s="60"/>
    </row>
    <row r="92" spans="1:13" x14ac:dyDescent="0.2">
      <c r="A92" s="60"/>
      <c r="B92" s="60"/>
      <c r="C92" s="60"/>
      <c r="D92" s="60"/>
      <c r="E92" s="60"/>
      <c r="F92" s="60"/>
      <c r="G92" s="60"/>
      <c r="H92" s="60"/>
      <c r="I92" s="60"/>
      <c r="J92" s="60"/>
      <c r="K92" s="60"/>
      <c r="L92" s="60"/>
      <c r="M92" s="60"/>
    </row>
    <row r="93" spans="1:13" x14ac:dyDescent="0.2">
      <c r="A93" s="60"/>
      <c r="B93" s="60"/>
      <c r="C93" s="60"/>
      <c r="D93" s="60"/>
      <c r="E93" s="60"/>
      <c r="F93" s="60"/>
      <c r="G93" s="60"/>
      <c r="H93" s="60"/>
      <c r="I93" s="60"/>
      <c r="J93" s="60"/>
      <c r="K93" s="60"/>
      <c r="L93" s="60"/>
      <c r="M93" s="60"/>
    </row>
    <row r="94" spans="1:13" x14ac:dyDescent="0.2">
      <c r="A94" s="60"/>
      <c r="B94" s="60"/>
      <c r="C94" s="60"/>
      <c r="D94" s="60"/>
      <c r="E94" s="60"/>
      <c r="F94" s="60"/>
      <c r="G94" s="60"/>
      <c r="H94" s="60"/>
      <c r="I94" s="60"/>
      <c r="J94" s="60"/>
      <c r="K94" s="60"/>
      <c r="L94" s="60"/>
      <c r="M94" s="60"/>
    </row>
    <row r="95" spans="1:13" x14ac:dyDescent="0.2">
      <c r="A95" s="60"/>
      <c r="B95" s="60"/>
      <c r="C95" s="60"/>
      <c r="D95" s="60"/>
      <c r="E95" s="60"/>
      <c r="F95" s="60"/>
      <c r="G95" s="60"/>
      <c r="H95" s="60"/>
      <c r="I95" s="60"/>
      <c r="J95" s="60"/>
      <c r="K95" s="60"/>
      <c r="L95" s="60"/>
      <c r="M95" s="60"/>
    </row>
    <row r="96" spans="1:13" x14ac:dyDescent="0.2">
      <c r="A96" s="60"/>
      <c r="B96" s="60"/>
      <c r="C96" s="60"/>
      <c r="D96" s="60"/>
      <c r="E96" s="60"/>
      <c r="F96" s="60"/>
      <c r="G96" s="60"/>
      <c r="H96" s="60"/>
      <c r="I96" s="60"/>
      <c r="J96" s="60"/>
      <c r="K96" s="60"/>
      <c r="L96" s="60"/>
      <c r="M96" s="60"/>
    </row>
    <row r="97" spans="1:13" x14ac:dyDescent="0.2">
      <c r="A97" s="60"/>
      <c r="B97" s="60"/>
      <c r="C97" s="60"/>
      <c r="D97" s="60"/>
      <c r="E97" s="60"/>
      <c r="F97" s="60"/>
      <c r="G97" s="60"/>
      <c r="H97" s="60"/>
      <c r="I97" s="60"/>
      <c r="J97" s="60"/>
      <c r="K97" s="60"/>
      <c r="L97" s="60"/>
      <c r="M97" s="60"/>
    </row>
    <row r="98" spans="1:13" x14ac:dyDescent="0.2">
      <c r="A98" s="60"/>
      <c r="B98" s="60"/>
      <c r="C98" s="60"/>
      <c r="D98" s="60"/>
      <c r="E98" s="60"/>
      <c r="F98" s="60"/>
      <c r="G98" s="60"/>
      <c r="H98" s="60"/>
      <c r="I98" s="60"/>
      <c r="J98" s="60"/>
      <c r="K98" s="60"/>
      <c r="L98" s="60"/>
      <c r="M98" s="60"/>
    </row>
    <row r="99" spans="1:13" x14ac:dyDescent="0.2">
      <c r="A99" s="60"/>
      <c r="B99" s="60"/>
      <c r="C99" s="60"/>
      <c r="D99" s="60"/>
      <c r="E99" s="60"/>
      <c r="F99" s="60"/>
      <c r="G99" s="60"/>
      <c r="H99" s="60"/>
      <c r="I99" s="60"/>
      <c r="J99" s="60"/>
      <c r="K99" s="60"/>
      <c r="L99" s="60"/>
      <c r="M99" s="60"/>
    </row>
    <row r="100" spans="1:13" x14ac:dyDescent="0.2">
      <c r="A100" s="60"/>
      <c r="B100" s="60"/>
      <c r="C100" s="60"/>
      <c r="D100" s="60"/>
      <c r="E100" s="60"/>
      <c r="F100" s="60"/>
      <c r="G100" s="60"/>
      <c r="H100" s="60"/>
      <c r="I100" s="60"/>
      <c r="J100" s="60"/>
      <c r="K100" s="60"/>
      <c r="L100" s="60"/>
      <c r="M100" s="60"/>
    </row>
    <row r="101" spans="1:13" x14ac:dyDescent="0.2">
      <c r="A101" s="60"/>
      <c r="B101" s="60"/>
      <c r="C101" s="60"/>
      <c r="D101" s="60"/>
      <c r="E101" s="60"/>
      <c r="F101" s="60"/>
      <c r="G101" s="60"/>
      <c r="H101" s="60"/>
      <c r="I101" s="60"/>
      <c r="J101" s="60"/>
      <c r="K101" s="60"/>
      <c r="L101" s="60"/>
      <c r="M101" s="60"/>
    </row>
    <row r="102" spans="1:13" x14ac:dyDescent="0.2">
      <c r="A102" s="60"/>
      <c r="B102" s="60"/>
      <c r="C102" s="60"/>
      <c r="D102" s="60"/>
      <c r="E102" s="60"/>
      <c r="F102" s="60"/>
      <c r="G102" s="60"/>
      <c r="H102" s="60"/>
      <c r="I102" s="60"/>
      <c r="J102" s="60"/>
      <c r="K102" s="60"/>
      <c r="L102" s="60"/>
      <c r="M102" s="6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2018-12-04T08:00:00+00:00</OpenedDate>
    <SignificantOrder xmlns="dc463f71-b30c-4ab2-9473-d307f9d35888">false</SignificantOrder>
    <Date1 xmlns="dc463f71-b30c-4ab2-9473-d307f9d35888">2019-01-24T08:00:00+00:00</Date1>
    <IsDocumentOrder xmlns="dc463f71-b30c-4ab2-9473-d307f9d35888">false</IsDocumentOrder>
    <IsHighlyConfidential xmlns="dc463f71-b30c-4ab2-9473-d307f9d35888">false</IsHighlyConfidential>
    <CaseCompanyNames xmlns="dc463f71-b30c-4ab2-9473-d307f9d35888">Fiorito Enterprises Inc. &amp; Rabanco Companies</CaseCompanyNames>
    <Nickname xmlns="http://schemas.microsoft.com/sharepoint/v3" xsi:nil="true"/>
    <DocketNumber xmlns="dc463f71-b30c-4ab2-9473-d307f9d35888">181017</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4FF39D7416C574B97A7FAAEC7CDEF95" ma:contentTypeVersion="76" ma:contentTypeDescription="" ma:contentTypeScope="" ma:versionID="52ee59bf73f15f4a7d78e754c14ba2a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B7F713-2766-4B9D-ACB1-3D3069492FFA}">
  <ds:schemaRefs>
    <ds:schemaRef ds:uri="http://schemas.microsoft.com/office/2006/metadata/longProperties"/>
  </ds:schemaRefs>
</ds:datastoreItem>
</file>

<file path=customXml/itemProps2.xml><?xml version="1.0" encoding="utf-8"?>
<ds:datastoreItem xmlns:ds="http://schemas.openxmlformats.org/officeDocument/2006/customXml" ds:itemID="{60A438F0-30EB-4E56-9016-77075FD0262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a7bd91e-004b-490a-8704-e368d63d59a0"/>
    <ds:schemaRef ds:uri="http://www.w3.org/XML/1998/namespace"/>
    <ds:schemaRef ds:uri="http://purl.org/dc/dcmitype/"/>
  </ds:schemaRefs>
</ds:datastoreItem>
</file>

<file path=customXml/itemProps3.xml><?xml version="1.0" encoding="utf-8"?>
<ds:datastoreItem xmlns:ds="http://schemas.openxmlformats.org/officeDocument/2006/customXml" ds:itemID="{573B80F2-960D-419D-A347-34120932AB14}">
  <ds:schemaRefs>
    <ds:schemaRef ds:uri="http://schemas.microsoft.com/sharepoint/v3/contenttype/forms"/>
  </ds:schemaRefs>
</ds:datastoreItem>
</file>

<file path=customXml/itemProps4.xml><?xml version="1.0" encoding="utf-8"?>
<ds:datastoreItem xmlns:ds="http://schemas.openxmlformats.org/officeDocument/2006/customXml" ds:itemID="{6C7CCEB4-7E87-436B-9935-0964368C9A5B}"/>
</file>

<file path=customXml/itemProps5.xml><?xml version="1.0" encoding="utf-8"?>
<ds:datastoreItem xmlns:ds="http://schemas.openxmlformats.org/officeDocument/2006/customXml" ds:itemID="{6B27885D-E863-46FB-9938-AF0928EF52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30</vt:i4>
      </vt:variant>
    </vt:vector>
  </HeadingPairs>
  <TitlesOfParts>
    <vt:vector size="74" baseType="lpstr">
      <vt:lpstr>Staff Analysis</vt:lpstr>
      <vt:lpstr>WUTC_KENT_MF 181017</vt:lpstr>
      <vt:lpstr>Value MF 181017</vt:lpstr>
      <vt:lpstr>Commodity Tons MF 181017 </vt:lpstr>
      <vt:lpstr>Pricing MF 181017</vt:lpstr>
      <vt:lpstr>Multi_Family 181017</vt:lpstr>
      <vt:lpstr>WUTC_KENT_SF 181017</vt:lpstr>
      <vt:lpstr>Value 181017</vt:lpstr>
      <vt:lpstr>Commodity Tons 181017</vt:lpstr>
      <vt:lpstr>Pricing 181017</vt:lpstr>
      <vt:lpstr>Singe Family 181017</vt:lpstr>
      <vt:lpstr>WUTC_KENT_SF 2018</vt:lpstr>
      <vt:lpstr>Value 2018</vt:lpstr>
      <vt:lpstr>Commodity Tonnages 2018</vt:lpstr>
      <vt:lpstr>Pricing 2018</vt:lpstr>
      <vt:lpstr>Single Family 2018</vt:lpstr>
      <vt:lpstr>WUTC_KENT_MF 2018</vt:lpstr>
      <vt:lpstr>Value MF 2018</vt:lpstr>
      <vt:lpstr>Commodity Tonnages MF 2018</vt:lpstr>
      <vt:lpstr>Pricing MF 2018</vt:lpstr>
      <vt:lpstr>Multi_Family MF 2018</vt:lpstr>
      <vt:lpstr>WUTC_KENT_MF (2)</vt:lpstr>
      <vt:lpstr>Value MF</vt:lpstr>
      <vt:lpstr>Pricing MF</vt:lpstr>
      <vt:lpstr>Commodity Tonnages MF</vt:lpstr>
      <vt:lpstr>Multi_Family (2)</vt:lpstr>
      <vt:lpstr>WUTC_KENT_SF (2)</vt:lpstr>
      <vt:lpstr>Value (2)</vt:lpstr>
      <vt:lpstr>Commodity Tonnages (2)</vt:lpstr>
      <vt:lpstr>Pricing (2)</vt:lpstr>
      <vt:lpstr>Single Family (2)</vt:lpstr>
      <vt:lpstr>2016 Staff Summary</vt:lpstr>
      <vt:lpstr>2014-2015</vt:lpstr>
      <vt:lpstr>WUTC_KENT_SF</vt:lpstr>
      <vt:lpstr>Renton Cust</vt:lpstr>
      <vt:lpstr>SF Value</vt:lpstr>
      <vt:lpstr>SF Commodity Tonnages</vt:lpstr>
      <vt:lpstr>SF Pricing</vt:lpstr>
      <vt:lpstr>Single Family</vt:lpstr>
      <vt:lpstr>WUTC_KENT_MF</vt:lpstr>
      <vt:lpstr>Value</vt:lpstr>
      <vt:lpstr>Commodity Tonnages</vt:lpstr>
      <vt:lpstr>Pricing</vt:lpstr>
      <vt:lpstr>Multi_Family</vt:lpstr>
      <vt:lpstr>'Commodity Tonnages'!Print_Area</vt:lpstr>
      <vt:lpstr>'Commodity Tonnages MF'!Print_Area</vt:lpstr>
      <vt:lpstr>'Commodity Tonnages MF 2018'!Print_Area</vt:lpstr>
      <vt:lpstr>'Commodity Tons MF 181017 '!Print_Area</vt:lpstr>
      <vt:lpstr>Multi_Family!Print_Area</vt:lpstr>
      <vt:lpstr>'Multi_Family (2)'!Print_Area</vt:lpstr>
      <vt:lpstr>'Multi_Family 181017'!Print_Area</vt:lpstr>
      <vt:lpstr>'Multi_Family MF 2018'!Print_Area</vt:lpstr>
      <vt:lpstr>Pricing!Print_Area</vt:lpstr>
      <vt:lpstr>'Pricing MF'!Print_Area</vt:lpstr>
      <vt:lpstr>'Pricing MF 181017'!Print_Area</vt:lpstr>
      <vt:lpstr>'Pricing MF 2018'!Print_Area</vt:lpstr>
      <vt:lpstr>'Single Family'!Print_Area</vt:lpstr>
      <vt:lpstr>'Single Family (2)'!Print_Area</vt:lpstr>
      <vt:lpstr>'Single Family 2018'!Print_Area</vt:lpstr>
      <vt:lpstr>'Staff Analysis'!Print_Area</vt:lpstr>
      <vt:lpstr>WUTC_KENT_MF!Print_Area</vt:lpstr>
      <vt:lpstr>'WUTC_KENT_MF (2)'!Print_Area</vt:lpstr>
      <vt:lpstr>'WUTC_KENT_MF 181017'!Print_Area</vt:lpstr>
      <vt:lpstr>'WUTC_KENT_MF 2018'!Print_Area</vt:lpstr>
      <vt:lpstr>WUTC_KENT_SF!Print_Area</vt:lpstr>
      <vt:lpstr>'WUTC_KENT_SF (2)'!Print_Area</vt:lpstr>
      <vt:lpstr>'WUTC_KENT_SF 2018'!Print_Area</vt:lpstr>
      <vt:lpstr>Multi_Family!Print_Titles</vt:lpstr>
      <vt:lpstr>'Multi_Family (2)'!Print_Titles</vt:lpstr>
      <vt:lpstr>'Multi_Family 181017'!Print_Titles</vt:lpstr>
      <vt:lpstr>'Multi_Family MF 2018'!Print_Titles</vt:lpstr>
      <vt:lpstr>'Single Family'!Print_Titles</vt:lpstr>
      <vt:lpstr>'Single Family (2)'!Print_Titles</vt:lpstr>
      <vt:lpstr>'Single Family 2018'!Print_Titles</vt:lpstr>
    </vt:vector>
  </TitlesOfParts>
  <Company>Allied Waste Industries,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Fiorito Enterprises</dc:title>
  <dc:creator>JG00116</dc:creator>
  <cp:lastModifiedBy>Oates, Bryan (UTC)</cp:lastModifiedBy>
  <cp:lastPrinted>2019-01-24T19:45:16Z</cp:lastPrinted>
  <dcterms:created xsi:type="dcterms:W3CDTF">2008-05-23T15:47:44Z</dcterms:created>
  <dcterms:modified xsi:type="dcterms:W3CDTF">2019-01-24T23:41:36Z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0x0101006E56B4D1795A2E4DB2F0B01679ED314A00D4FF39D7416C574B97A7FAAEC7CDEF95</vt:lpwstr>
  </property>
  <property fmtid="{D5CDD505-2E9C-101B-9397-08002B2CF9AE}" pid="3" name="_docset_NoMedatataSyncRequired">
    <vt:lpwstr>False</vt:lpwstr>
  </property>
  <property fmtid="{D5CDD505-2E9C-101B-9397-08002B2CF9AE}" pid="4" name="IsEFSEC">
    <vt:bool>false</vt:bool>
  </property>
</Properties>
</file>